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sites/Commercieelvakverantwoordelijken-SharePointOOcommercie/Gedeelde documenten/SharePoint OO commercie/Kwaliteitszorg en analyses/SOP'jes/2025-2026/"/>
    </mc:Choice>
  </mc:AlternateContent>
  <xr:revisionPtr revIDLastSave="43" documentId="8_{E105801A-4991-4560-A770-54D17A6F2B6E}" xr6:coauthVersionLast="47" xr6:coauthVersionMax="47" xr10:uidLastSave="{6C894802-24B0-4798-9148-AAFACE0B673F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2932" yWindow="-108" windowWidth="23256" windowHeight="13896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<sst xmlns="http://schemas.openxmlformats.org/spreadsheetml/2006/main" count="605" uniqueCount="324">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</sst>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4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4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4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D9" sqref="D9:E9"/>
    </sheetView>
  </sheetViews>
  <sheetFormatPr defaultColWidth="9.140625" defaultRowHeight="15" zeroHeight="1" x14ac:dyDescent="0.25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42578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hidden="1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10.42578125" style="75" bestFit="1" customWidth="1"/>
    <col min="18" max="18" width="10" style="75" bestFit="1" customWidth="1"/>
    <col min="19" max="16384" width="9.140625" style="75"/>
  </cols>
  <sheetData>
    <row r="1" spans="2:14" ht="15" customHeight="1" x14ac:dyDescent="0.25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25">
      <c r="B2" s="150" t="s">
        <v>0</v>
      </c>
      <c r="C2" s="151"/>
      <c r="D2" s="151"/>
      <c r="E2" s="151"/>
      <c r="F2" s="151"/>
      <c r="G2" s="151"/>
      <c r="H2" s="151"/>
      <c r="I2" s="151"/>
      <c r="J2" s="151"/>
      <c r="K2" s="152"/>
      <c r="M2" s="94"/>
      <c r="N2" s="101"/>
    </row>
    <row r="3" spans="2:14" ht="14.1" customHeigh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25">
      <c r="B4" s="54" t="s">
        <v>59</v>
      </c>
      <c r="C4" s="76"/>
      <c r="D4" s="96">
        <v>25874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25">
      <c r="B5" s="100" t="s">
        <v>1</v>
      </c>
      <c r="C5" s="100"/>
      <c r="D5" s="153" t="s">
        <v>166</v>
      </c>
      <c r="E5" s="155"/>
      <c r="F5" s="100"/>
      <c r="G5" s="77" t="s">
        <v>5</v>
      </c>
      <c r="H5" s="162" t="s">
        <v>307</v>
      </c>
      <c r="I5" s="16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25">
      <c r="B6" s="100" t="s">
        <v>279</v>
      </c>
      <c r="C6" s="100"/>
      <c r="D6" s="153" t="s">
        <v>286</v>
      </c>
      <c r="E6" s="154"/>
      <c r="F6" s="154"/>
      <c r="G6" s="154"/>
      <c r="H6" s="154"/>
      <c r="I6" s="154"/>
      <c r="J6" s="154"/>
      <c r="K6" s="155"/>
      <c r="M6" s="94" t="s">
        <v>7</v>
      </c>
      <c r="N6" s="94" t="str">
        <f>VLOOKUP($D$7,Parameters!$A$81:$E$82,2,FALSE)</f>
        <v>BOL</v>
      </c>
    </row>
    <row r="7" spans="2:14" ht="15" customHeight="1" x14ac:dyDescent="0.25">
      <c r="B7" s="100" t="s">
        <v>7</v>
      </c>
      <c r="C7" s="100"/>
      <c r="D7" s="153" t="s">
        <v>121</v>
      </c>
      <c r="E7" s="155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10</v>
      </c>
      <c r="N7" s="94">
        <f>VLOOKUP($D$7,Parameters!$A$81:$E$82,3,FALSE)</f>
        <v>2</v>
      </c>
    </row>
    <row r="8" spans="2:14" ht="15" customHeight="1" x14ac:dyDescent="0.25">
      <c r="B8" s="100" t="s">
        <v>60</v>
      </c>
      <c r="C8" s="100"/>
      <c r="D8" s="153" t="s">
        <v>290</v>
      </c>
      <c r="E8" s="15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25">
      <c r="B9" s="100" t="s">
        <v>280</v>
      </c>
      <c r="C9" s="100"/>
      <c r="D9" s="153" t="s">
        <v>15</v>
      </c>
      <c r="E9" s="15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VLOOKUP($D$6,Opleidingen!A2:B154,2,FALSE)</f>
        <v>3</v>
      </c>
    </row>
    <row r="10" spans="2:14" ht="15" customHeight="1" x14ac:dyDescent="0.25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20</v>
      </c>
    </row>
    <row r="11" spans="2:14" ht="15" customHeight="1" x14ac:dyDescent="0.25">
      <c r="B11" s="100" t="s">
        <v>282</v>
      </c>
      <c r="C11" s="100"/>
      <c r="D11" s="98">
        <v>46599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4.1" customHeight="1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25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Nee</v>
      </c>
      <c r="M13" s="94" t="s">
        <v>22</v>
      </c>
      <c r="N13" s="101">
        <f>$D$4</f>
        <v>25874</v>
      </c>
    </row>
    <row r="14" spans="2:14" x14ac:dyDescent="0.25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25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2</v>
      </c>
      <c r="M15" s="94"/>
      <c r="N15" s="101"/>
    </row>
    <row r="16" spans="2:14" ht="9" customHeight="1" x14ac:dyDescent="0.2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25">
      <c r="B17" s="156"/>
      <c r="C17" s="156"/>
      <c r="D17" s="156"/>
      <c r="E17" s="156"/>
      <c r="F17" s="157"/>
      <c r="G17" s="158" t="s">
        <v>25</v>
      </c>
      <c r="H17" s="159"/>
      <c r="I17" s="160" t="s">
        <v>26</v>
      </c>
      <c r="J17" s="161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25">
      <c r="A18" s="100"/>
      <c r="B18" s="143" t="s">
        <v>30</v>
      </c>
      <c r="C18" s="144"/>
      <c r="D18" s="144"/>
      <c r="E18" s="144"/>
      <c r="F18" s="144"/>
      <c r="G18" s="145">
        <f>N18</f>
        <v>3000</v>
      </c>
      <c r="H18" s="146"/>
      <c r="I18" s="145">
        <f>(I19+I20+I21)</f>
        <v>3063</v>
      </c>
      <c r="J18" s="146"/>
      <c r="K18" s="105" t="str">
        <f>IF(I18="-","",IF(K51&gt;(I18-1),"Ja","Nee"))</f>
        <v>Nee</v>
      </c>
      <c r="M18" s="94" t="str">
        <f>IF(K51&gt;G18,"Ja","Nee")</f>
        <v>Nee</v>
      </c>
      <c r="N18" s="109">
        <f>IF(ISERROR(O18),(VLOOKUP($D$9,Parameters!$A$4:$R$78,$N$7,FALSE)),O18)</f>
        <v>3000</v>
      </c>
      <c r="O18" s="110">
        <f>VLOOKUP(($D$4),Parameters!$A$4:$R$78,$N$7,FALSE)</f>
        <v>3000</v>
      </c>
      <c r="Q18" s="111"/>
      <c r="R18" s="111"/>
    </row>
    <row r="19" spans="1:18" x14ac:dyDescent="0.25">
      <c r="A19" s="100"/>
      <c r="B19" s="143" t="s">
        <v>31</v>
      </c>
      <c r="C19" s="144"/>
      <c r="D19" s="144"/>
      <c r="E19" s="144"/>
      <c r="F19" s="144"/>
      <c r="G19" s="145">
        <f>N19</f>
        <v>1700</v>
      </c>
      <c r="H19" s="146"/>
      <c r="I19" s="145">
        <f>IF(G19="-","-",G19*(100%+Parameters!$B$91))</f>
        <v>1751</v>
      </c>
      <c r="J19" s="146"/>
      <c r="K19" s="105" t="str">
        <f>IF(I19="-","nvt",IF(I51&lt;G19,"Nee",IF(I51&lt;I19,"Nee","Ja")))</f>
        <v>Nee</v>
      </c>
      <c r="M19" s="94" t="str">
        <f>IF(G19="-","nvt",IF(I51&gt;G19,"Ja","Nee"))</f>
        <v>Nee</v>
      </c>
      <c r="N19" s="109">
        <f>IF(ISERROR(O19),(VLOOKUP($D$9,Parameters!$A$4:$R$78,$N$7+3,FALSE)),O19)</f>
        <v>1700</v>
      </c>
      <c r="O19" s="110">
        <f>VLOOKUP($D$4,Parameters!$A$4:$R$78,$N$7+3,FALSE)</f>
        <v>1700</v>
      </c>
      <c r="Q19" s="111"/>
      <c r="R19" s="112"/>
    </row>
    <row r="20" spans="1:18" x14ac:dyDescent="0.25">
      <c r="A20" s="100"/>
      <c r="B20" s="143" t="s">
        <v>32</v>
      </c>
      <c r="C20" s="144"/>
      <c r="D20" s="144"/>
      <c r="E20" s="144"/>
      <c r="F20" s="144"/>
      <c r="G20" s="145">
        <f>N20</f>
        <v>900</v>
      </c>
      <c r="H20" s="146"/>
      <c r="I20" s="145">
        <f>IF(G20="-","-",G20*(100%))</f>
        <v>900</v>
      </c>
      <c r="J20" s="14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900</v>
      </c>
      <c r="O20" s="110">
        <f>VLOOKUP($D$4,Parameters!$A$4:$R$78,$N$7+6,FALSE)</f>
        <v>900</v>
      </c>
      <c r="Q20" s="111"/>
      <c r="R20" s="111"/>
    </row>
    <row r="21" spans="1:18" x14ac:dyDescent="0.25">
      <c r="A21" s="100"/>
      <c r="B21" s="143" t="s">
        <v>33</v>
      </c>
      <c r="C21" s="144"/>
      <c r="D21" s="144"/>
      <c r="E21" s="144"/>
      <c r="F21" s="144"/>
      <c r="G21" s="145">
        <f>N21</f>
        <v>400</v>
      </c>
      <c r="H21" s="146"/>
      <c r="I21" s="145">
        <f>IF(G21="-","-",G21*(100%+Parameters!$B$91))</f>
        <v>412</v>
      </c>
      <c r="J21" s="146"/>
      <c r="K21" s="105" t="s">
        <v>34</v>
      </c>
      <c r="M21" s="94" t="s">
        <v>34</v>
      </c>
      <c r="N21" s="109">
        <f>IF(ISERROR(O21),(VLOOKUP($D$9,Parameters!$A$4:$R$78,$N$7+9,FALSE)),O21)</f>
        <v>400</v>
      </c>
      <c r="O21" s="110">
        <f>VLOOKUP($D$4,Parameters!$A$4:$R$78,$N$7+9,FALSE)</f>
        <v>400</v>
      </c>
      <c r="Q21" s="111"/>
      <c r="R21" s="111"/>
    </row>
    <row r="22" spans="1:18" x14ac:dyDescent="0.25">
      <c r="A22" s="100"/>
      <c r="B22" s="143" t="s">
        <v>35</v>
      </c>
      <c r="C22" s="144"/>
      <c r="D22" s="144"/>
      <c r="E22" s="144"/>
      <c r="F22" s="144"/>
      <c r="G22" s="145">
        <f>N22</f>
        <v>650</v>
      </c>
      <c r="H22" s="146"/>
      <c r="I22" s="145">
        <f>IF(G22="-","-",G22*(100%+Parameters!$B$91))</f>
        <v>669.5</v>
      </c>
      <c r="J22" s="14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650</v>
      </c>
      <c r="O22" s="110">
        <f>VLOOKUP($D$4,Parameters!$A$4:$R$78,$N$7+12,FALSE)</f>
        <v>650</v>
      </c>
      <c r="Q22" s="111"/>
      <c r="R22" s="111"/>
    </row>
    <row r="23" spans="1:18" ht="9" customHeight="1" x14ac:dyDescent="0.25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25">
      <c r="A24" s="100"/>
      <c r="B24" s="100"/>
      <c r="C24" s="113"/>
      <c r="D24" s="147" t="s">
        <v>36</v>
      </c>
      <c r="E24" s="148"/>
      <c r="F24" s="148"/>
      <c r="G24" s="148"/>
      <c r="H24" s="148"/>
      <c r="I24" s="14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25">
      <c r="A25" s="100"/>
      <c r="B25" s="113"/>
      <c r="C25" s="113"/>
      <c r="D25" s="119" t="s">
        <v>39</v>
      </c>
      <c r="E25" s="142" t="s">
        <v>40</v>
      </c>
      <c r="F25" s="142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25">
      <c r="A26" s="100"/>
      <c r="B26" s="139" t="str">
        <f>"Leerjaar "&amp;$N$8</f>
        <v>Leerjaar 1</v>
      </c>
      <c r="C26" s="113" t="s">
        <v>46</v>
      </c>
      <c r="D26" s="123">
        <v>30</v>
      </c>
      <c r="E26" s="140">
        <f>(D26*Parameters!$B$92)/60</f>
        <v>25</v>
      </c>
      <c r="F26" s="141"/>
      <c r="G26" s="124">
        <f>IF($N$6="BOL",Parameters!C85,Parameters!B85)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25">
      <c r="A27" s="100"/>
      <c r="B27" s="139"/>
      <c r="C27" s="113" t="s">
        <v>48</v>
      </c>
      <c r="D27" s="126">
        <v>30</v>
      </c>
      <c r="E27" s="140">
        <f>(D27*Parameters!$B$92)/60</f>
        <v>25</v>
      </c>
      <c r="F27" s="141"/>
      <c r="G27" s="124">
        <f>IF($N$6="BOL",Parameters!C86,Parameters!B86)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49</v>
      </c>
      <c r="N27" s="109">
        <f>N22*(100%+Parameters!$B$91)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25">
      <c r="A28" s="100"/>
      <c r="B28" s="139"/>
      <c r="C28" s="113" t="s">
        <v>50</v>
      </c>
      <c r="D28" s="126"/>
      <c r="E28" s="140">
        <f>(D28*Parameters!$B$92)/60</f>
        <v>0</v>
      </c>
      <c r="F28" s="141"/>
      <c r="G28" s="124">
        <f>IF($N$6="BOL",Parameters!C87,Parameters!B87)</f>
        <v>9.5</v>
      </c>
      <c r="H28" s="125">
        <f>E28*G28</f>
        <v>0</v>
      </c>
      <c r="I28" s="126"/>
      <c r="J28" s="126">
        <v>350</v>
      </c>
      <c r="K28" s="125">
        <f>J28+I28+H28</f>
        <v>350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25">
      <c r="A29" s="100"/>
      <c r="B29" s="139"/>
      <c r="C29" s="113" t="s">
        <v>52</v>
      </c>
      <c r="D29" s="126">
        <v>30</v>
      </c>
      <c r="E29" s="140">
        <f>(D29*Parameters!$B$92)/60</f>
        <v>25</v>
      </c>
      <c r="F29" s="141"/>
      <c r="G29" s="124">
        <f>IF($N$6="BOL",Parameters!C88,Parameters!B88)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53</v>
      </c>
      <c r="N29" s="109">
        <f>IF($N$6="BOL",N26*1000/10,IF($N$6="BBL",N26*850/10,0))*(100%+Parameters!$B$91)</f>
        <v>1030</v>
      </c>
      <c r="O29" s="110">
        <f>N29/(100%+Parameters!$B$91)</f>
        <v>1000</v>
      </c>
      <c r="P29" s="110">
        <f>IF(K30&gt;=O29,0,1)</f>
        <v>0</v>
      </c>
      <c r="Q29" s="111"/>
      <c r="R29" s="127"/>
    </row>
    <row r="30" spans="1:18" x14ac:dyDescent="0.25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350</v>
      </c>
      <c r="K30" s="131">
        <f>SUM(K26:K29)</f>
        <v>1037.5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25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25">
      <c r="A32" s="100"/>
      <c r="B32" s="139" t="str">
        <f>IF($N$11&gt;=2,"Leerjaar "&amp;$N$8+1,"")</f>
        <v>Leerjaar 2</v>
      </c>
      <c r="C32" s="113" t="s">
        <v>46</v>
      </c>
      <c r="D32" s="126">
        <v>30</v>
      </c>
      <c r="E32" s="140">
        <f>(D32*Parameters!$B$92)/60</f>
        <v>25</v>
      </c>
      <c r="F32" s="141"/>
      <c r="G32" s="124">
        <f>IF($N$11&gt;=2,IF($N$6="BOL",Parameters!C85,Parameters!B85),"-")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25">
      <c r="A33" s="100"/>
      <c r="B33" s="139"/>
      <c r="C33" s="113" t="s">
        <v>48</v>
      </c>
      <c r="D33" s="126"/>
      <c r="E33" s="140">
        <f>(D33*Parameters!$B$92)/60</f>
        <v>0</v>
      </c>
      <c r="F33" s="141"/>
      <c r="G33" s="124">
        <f>IF($N$11&gt;=2,IF($N$6="BOL",Parameters!C86,Parameters!B86),"-")</f>
        <v>9.5</v>
      </c>
      <c r="H33" s="125">
        <f t="shared" ref="H33:H35" si="1">IF(G33&lt;&gt;"-",E33*G33,0)</f>
        <v>0</v>
      </c>
      <c r="I33" s="126">
        <v>0</v>
      </c>
      <c r="J33" s="126">
        <v>350</v>
      </c>
      <c r="K33" s="125">
        <f t="shared" si="0"/>
        <v>350</v>
      </c>
      <c r="M33" s="101" t="s">
        <v>49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 x14ac:dyDescent="0.25">
      <c r="B34" s="139"/>
      <c r="C34" s="113" t="s">
        <v>50</v>
      </c>
      <c r="D34" s="126">
        <v>30</v>
      </c>
      <c r="E34" s="140">
        <f>(D34*Parameters!$B$92)/60</f>
        <v>25</v>
      </c>
      <c r="F34" s="141"/>
      <c r="G34" s="124">
        <f>IF($N$11&gt;=2,IF($N$6="BOL",Parameters!C87,Parameters!B87),"-")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25">
      <c r="B35" s="139"/>
      <c r="C35" s="113" t="s">
        <v>52</v>
      </c>
      <c r="D35" s="126"/>
      <c r="E35" s="140">
        <f>(D35*Parameters!$B$92)/60</f>
        <v>0</v>
      </c>
      <c r="F35" s="141"/>
      <c r="G35" s="124">
        <f>IF($N$11&gt;=2,IF($N$6="BOL",Parameters!C88,Parameters!B88),"-")</f>
        <v>8.5</v>
      </c>
      <c r="H35" s="125">
        <f t="shared" si="1"/>
        <v>0</v>
      </c>
      <c r="I35" s="126">
        <v>0</v>
      </c>
      <c r="J35" s="126">
        <v>240</v>
      </c>
      <c r="K35" s="125">
        <f t="shared" si="0"/>
        <v>240</v>
      </c>
      <c r="M35" s="101" t="s">
        <v>53</v>
      </c>
      <c r="N35" s="109">
        <f>IF($N$6="BOL",N32*1000/10,IF($N$6="BBL",N32*850/10,0))*(100%+Parameters!$B$91)</f>
        <v>1030</v>
      </c>
      <c r="O35" s="110">
        <f>N35/(100%+Parameters!$B$91)</f>
        <v>1000</v>
      </c>
      <c r="P35" s="110">
        <f>IF(K36&gt;=O35,0,1)</f>
        <v>0</v>
      </c>
    </row>
    <row r="36" spans="1:18" x14ac:dyDescent="0.25">
      <c r="B36" s="122"/>
      <c r="C36" s="113"/>
      <c r="D36" s="87" t="str">
        <f>IF(K36&gt;Parameters!$D$91,"Teveel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475</v>
      </c>
      <c r="I36" s="130">
        <f>SUM(I32:I35)</f>
        <v>0</v>
      </c>
      <c r="J36" s="131">
        <f>SUM(J32:J35)</f>
        <v>590</v>
      </c>
      <c r="K36" s="131">
        <f>SUM(K32:K35)</f>
        <v>1065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25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25">
      <c r="B38" s="139" t="str">
        <f>IF($N$11&gt;=3,"Leerjaar "&amp;$N$8+2,"")</f>
        <v/>
      </c>
      <c r="C38" s="113" t="s">
        <v>46</v>
      </c>
      <c r="D38" s="126">
        <v>0</v>
      </c>
      <c r="E38" s="140">
        <f>(D38*Parameters!$B$92)/60</f>
        <v>0</v>
      </c>
      <c r="F38" s="141"/>
      <c r="G38" s="124" t="str">
        <f>IF($N$11&gt;=3,IF($N$6="BOL",Parameters!C85,Parameters!B85),"-")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25">
      <c r="B39" s="139"/>
      <c r="C39" s="113" t="s">
        <v>48</v>
      </c>
      <c r="D39" s="126">
        <v>0</v>
      </c>
      <c r="E39" s="140">
        <f>(D39*Parameters!$B$92)/60</f>
        <v>0</v>
      </c>
      <c r="F39" s="141"/>
      <c r="G39" s="124" t="str">
        <f>IF($N$11&gt;=3,IF($N$6="BOL",Parameters!C86,Parameters!B86),"-")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</row>
    <row r="40" spans="1:18" x14ac:dyDescent="0.25">
      <c r="B40" s="139"/>
      <c r="C40" s="113" t="s">
        <v>50</v>
      </c>
      <c r="D40" s="126">
        <v>0</v>
      </c>
      <c r="E40" s="140">
        <f>(D40*Parameters!$B$92)/60</f>
        <v>0</v>
      </c>
      <c r="F40" s="141"/>
      <c r="G40" s="124" t="str">
        <f>IF($N$11&gt;=3,IF($N$6="BOL",Parameters!C87,Parameters!B87),"-")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25">
      <c r="B41" s="139"/>
      <c r="C41" s="113" t="s">
        <v>52</v>
      </c>
      <c r="D41" s="126">
        <v>0</v>
      </c>
      <c r="E41" s="140">
        <f>(D41*Parameters!$B$92)/60</f>
        <v>0</v>
      </c>
      <c r="F41" s="141"/>
      <c r="G41" s="124" t="str">
        <f>IF($N$11&gt;=3,IF($N$6="BOL",Parameters!C88,Parameters!B88),"-")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IF($N$6="BOL",N38*1000/10,IF($N$6="BBL",N38*850/10,0))*(100%+Parameters!$B$91)</f>
        <v>0</v>
      </c>
      <c r="O41" s="110">
        <f>N41/(100%+Parameters!$B$91)</f>
        <v>0</v>
      </c>
      <c r="P41" s="110">
        <f>IF(K42&gt;=O41,0,1)</f>
        <v>0</v>
      </c>
    </row>
    <row r="42" spans="1:18" x14ac:dyDescent="0.25"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25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25">
      <c r="B44" s="139" t="str">
        <f>IF($N$11&gt;=4,"Leerjaar "&amp;$N$8+3,"")</f>
        <v/>
      </c>
      <c r="C44" s="113" t="s">
        <v>46</v>
      </c>
      <c r="D44" s="126">
        <v>0</v>
      </c>
      <c r="E44" s="140">
        <f>(D44*Parameters!$B$92)/60</f>
        <v>0</v>
      </c>
      <c r="F44" s="141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25">
      <c r="B45" s="139"/>
      <c r="C45" s="113" t="s">
        <v>48</v>
      </c>
      <c r="D45" s="126">
        <v>0</v>
      </c>
      <c r="E45" s="140">
        <f>(D45*Parameters!$B$92)/60</f>
        <v>0</v>
      </c>
      <c r="F45" s="141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25">
      <c r="B46" s="139"/>
      <c r="C46" s="113" t="s">
        <v>50</v>
      </c>
      <c r="D46" s="126">
        <v>0</v>
      </c>
      <c r="E46" s="140">
        <f>(D46*Parameters!$B$92)/60</f>
        <v>0</v>
      </c>
      <c r="F46" s="141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25">
      <c r="B47" s="139"/>
      <c r="C47" s="113" t="s">
        <v>52</v>
      </c>
      <c r="D47" s="126">
        <v>0</v>
      </c>
      <c r="E47" s="140">
        <f>(D47*Parameters!$B$92)/60</f>
        <v>0</v>
      </c>
      <c r="F47" s="141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25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25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25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25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1162.5</v>
      </c>
      <c r="J51" s="105">
        <f>J48+J42+J36+J30</f>
        <v>940</v>
      </c>
      <c r="K51" s="134">
        <f>K48+K42+K36+K30</f>
        <v>2102.5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2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2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25">
      <c r="G66" s="100"/>
    </row>
    <row r="67" spans="1:16" hidden="1" x14ac:dyDescent="0.25">
      <c r="G67" s="100"/>
    </row>
    <row r="68" spans="1:16" hidden="1" x14ac:dyDescent="0.25">
      <c r="G68" s="100"/>
    </row>
    <row r="69" spans="1:16" hidden="1" x14ac:dyDescent="0.25">
      <c r="G69" s="100"/>
    </row>
    <row r="70" spans="1:16" hidden="1" x14ac:dyDescent="0.25">
      <c r="G70" s="100"/>
    </row>
    <row r="71" spans="1:16" hidden="1" x14ac:dyDescent="0.25">
      <c r="G71" s="100"/>
    </row>
    <row r="72" spans="1:16" hidden="1" x14ac:dyDescent="0.25">
      <c r="G72" s="100"/>
    </row>
    <row r="73" spans="1:16" hidden="1" x14ac:dyDescent="0.25">
      <c r="G73" s="100"/>
    </row>
    <row r="74" spans="1:16" hidden="1" x14ac:dyDescent="0.25">
      <c r="G74" s="100"/>
    </row>
    <row r="75" spans="1:16" hidden="1" x14ac:dyDescent="0.25">
      <c r="G75" s="100"/>
    </row>
    <row r="76" spans="1:16" hidden="1" x14ac:dyDescent="0.25">
      <c r="G76" s="100"/>
    </row>
    <row r="77" spans="1:16" hidden="1" x14ac:dyDescent="0.25">
      <c r="G77" s="100"/>
    </row>
    <row r="78" spans="1:16" hidden="1" x14ac:dyDescent="0.25">
      <c r="G78" s="100"/>
    </row>
    <row r="79" spans="1:16" hidden="1" x14ac:dyDescent="0.25">
      <c r="G79" s="100"/>
    </row>
    <row r="80" spans="1:16" hidden="1" x14ac:dyDescent="0.25">
      <c r="G80" s="100"/>
    </row>
    <row r="81" spans="7:7" hidden="1" x14ac:dyDescent="0.25">
      <c r="G81" s="100"/>
    </row>
    <row r="82" spans="7:7" hidden="1" x14ac:dyDescent="0.25">
      <c r="G82" s="100"/>
    </row>
    <row r="83" spans="7:7" hidden="1" x14ac:dyDescent="0.25">
      <c r="G83" s="100"/>
    </row>
    <row r="84" spans="7:7" hidden="1" x14ac:dyDescent="0.25">
      <c r="G84" s="100"/>
    </row>
    <row r="85" spans="7:7" hidden="1" x14ac:dyDescent="0.25">
      <c r="G85" s="100"/>
    </row>
    <row r="86" spans="7:7" hidden="1" x14ac:dyDescent="0.25">
      <c r="G86" s="100"/>
    </row>
    <row r="87" spans="7:7" hidden="1" x14ac:dyDescent="0.25">
      <c r="G87" s="100"/>
    </row>
    <row r="88" spans="7:7" hidden="1" x14ac:dyDescent="0.25">
      <c r="G88" s="100"/>
    </row>
    <row r="89" spans="7:7" hidden="1" x14ac:dyDescent="0.25">
      <c r="G89" s="100"/>
    </row>
    <row r="90" spans="7:7" hidden="1" x14ac:dyDescent="0.25">
      <c r="G90" s="100"/>
    </row>
    <row r="91" spans="7:7" hidden="1" x14ac:dyDescent="0.25">
      <c r="G91" s="100"/>
    </row>
    <row r="92" spans="7:7" hidden="1" x14ac:dyDescent="0.25">
      <c r="G92" s="100"/>
    </row>
    <row r="93" spans="7:7" hidden="1" x14ac:dyDescent="0.25">
      <c r="G93" s="100"/>
    </row>
    <row r="94" spans="7:7" hidden="1" x14ac:dyDescent="0.25">
      <c r="G94" s="100"/>
    </row>
    <row r="95" spans="7:7" hidden="1" x14ac:dyDescent="0.25">
      <c r="G95" s="100"/>
    </row>
    <row r="96" spans="7:7" hidden="1" x14ac:dyDescent="0.25">
      <c r="G96" s="100"/>
    </row>
    <row r="97" spans="7:7" hidden="1" x14ac:dyDescent="0.25">
      <c r="G97" s="100"/>
    </row>
    <row r="98" spans="7:7" hidden="1" x14ac:dyDescent="0.25">
      <c r="G98" s="100"/>
    </row>
    <row r="99" spans="7:7" hidden="1" x14ac:dyDescent="0.25">
      <c r="G99" s="100"/>
    </row>
    <row r="100" spans="7:7" hidden="1" x14ac:dyDescent="0.25">
      <c r="G100" s="100"/>
    </row>
    <row r="101" spans="7:7" hidden="1" x14ac:dyDescent="0.25">
      <c r="G101" s="100"/>
    </row>
    <row r="102" spans="7:7" hidden="1" x14ac:dyDescent="0.25">
      <c r="G102" s="100"/>
    </row>
    <row r="103" spans="7:7" hidden="1" x14ac:dyDescent="0.25">
      <c r="G103" s="100"/>
    </row>
    <row r="104" spans="7:7" hidden="1" x14ac:dyDescent="0.25">
      <c r="G104" s="100"/>
    </row>
    <row r="105" spans="7:7" hidden="1" x14ac:dyDescent="0.25">
      <c r="G105" s="100"/>
    </row>
    <row r="106" spans="7:7" hidden="1" x14ac:dyDescent="0.25">
      <c r="G106" s="100"/>
    </row>
    <row r="107" spans="7:7" hidden="1" x14ac:dyDescent="0.25">
      <c r="G107" s="100"/>
    </row>
    <row r="108" spans="7:7" hidden="1" x14ac:dyDescent="0.25">
      <c r="G108" s="100"/>
    </row>
    <row r="109" spans="7:7" hidden="1" x14ac:dyDescent="0.25">
      <c r="G109" s="100"/>
    </row>
    <row r="110" spans="7:7" hidden="1" x14ac:dyDescent="0.25">
      <c r="G110" s="100"/>
    </row>
    <row r="111" spans="7:7" hidden="1" x14ac:dyDescent="0.25">
      <c r="G111" s="100"/>
    </row>
    <row r="112" spans="7:7" hidden="1" x14ac:dyDescent="0.25">
      <c r="G112" s="100"/>
    </row>
    <row r="113" spans="7:7" hidden="1" x14ac:dyDescent="0.25">
      <c r="G113" s="100"/>
    </row>
    <row r="114" spans="7:7" hidden="1" x14ac:dyDescent="0.25">
      <c r="G114" s="100"/>
    </row>
    <row r="115" spans="7:7" hidden="1" x14ac:dyDescent="0.25">
      <c r="G115" s="100"/>
    </row>
    <row r="116" spans="7:7" hidden="1" x14ac:dyDescent="0.25">
      <c r="G116" s="100"/>
    </row>
    <row r="117" spans="7:7" hidden="1" x14ac:dyDescent="0.25">
      <c r="G117" s="100"/>
    </row>
    <row r="118" spans="7:7" hidden="1" x14ac:dyDescent="0.25">
      <c r="G118" s="100"/>
    </row>
    <row r="119" spans="7:7" hidden="1" x14ac:dyDescent="0.25">
      <c r="G119" s="100"/>
    </row>
    <row r="120" spans="7:7" hidden="1" x14ac:dyDescent="0.25">
      <c r="G120" s="100"/>
    </row>
    <row r="121" spans="7:7" hidden="1" x14ac:dyDescent="0.25">
      <c r="G121" s="100"/>
    </row>
    <row r="122" spans="7:7" hidden="1" x14ac:dyDescent="0.25">
      <c r="G122" s="100"/>
    </row>
    <row r="123" spans="7:7" hidden="1" x14ac:dyDescent="0.25">
      <c r="G123" s="100"/>
    </row>
    <row r="124" spans="7:7" hidden="1" x14ac:dyDescent="0.25">
      <c r="G124" s="100"/>
    </row>
    <row r="125" spans="7:7" hidden="1" x14ac:dyDescent="0.25">
      <c r="G125" s="100"/>
    </row>
    <row r="126" spans="7:7" hidden="1" x14ac:dyDescent="0.25">
      <c r="G126" s="100"/>
    </row>
    <row r="127" spans="7:7" hidden="1" x14ac:dyDescent="0.25">
      <c r="G127" s="100"/>
    </row>
    <row r="128" spans="7:7" hidden="1" x14ac:dyDescent="0.25">
      <c r="G128" s="100"/>
    </row>
    <row r="129" spans="7:7" hidden="1" x14ac:dyDescent="0.25">
      <c r="G129" s="100"/>
    </row>
    <row r="130" spans="7:7" hidden="1" x14ac:dyDescent="0.25">
      <c r="G130" s="100"/>
    </row>
    <row r="131" spans="7:7" hidden="1" x14ac:dyDescent="0.25">
      <c r="G131" s="100"/>
    </row>
    <row r="132" spans="7:7" hidden="1" x14ac:dyDescent="0.25">
      <c r="G132" s="100"/>
    </row>
    <row r="133" spans="7:7" hidden="1" x14ac:dyDescent="0.25">
      <c r="G133" s="100"/>
    </row>
    <row r="134" spans="7:7" hidden="1" x14ac:dyDescent="0.25">
      <c r="G134" s="100"/>
    </row>
    <row r="135" spans="7:7" hidden="1" x14ac:dyDescent="0.25">
      <c r="G135" s="100"/>
    </row>
    <row r="136" spans="7:7" hidden="1" x14ac:dyDescent="0.25">
      <c r="G136" s="100"/>
    </row>
    <row r="137" spans="7:7" hidden="1" x14ac:dyDescent="0.25">
      <c r="G137" s="100"/>
    </row>
    <row r="138" spans="7:7" hidden="1" x14ac:dyDescent="0.25">
      <c r="G138" s="100"/>
    </row>
    <row r="139" spans="7:7" hidden="1" x14ac:dyDescent="0.25">
      <c r="G139" s="100"/>
    </row>
    <row r="140" spans="7:7" hidden="1" x14ac:dyDescent="0.25">
      <c r="G140" s="100"/>
    </row>
    <row r="141" spans="7:7" hidden="1" x14ac:dyDescent="0.25">
      <c r="G141" s="100"/>
    </row>
    <row r="142" spans="7:7" hidden="1" x14ac:dyDescent="0.25">
      <c r="G142" s="100"/>
    </row>
    <row r="143" spans="7:7" hidden="1" x14ac:dyDescent="0.25">
      <c r="G143" s="100"/>
    </row>
    <row r="144" spans="7:7" hidden="1" x14ac:dyDescent="0.25">
      <c r="G144" s="100"/>
    </row>
    <row r="145" spans="7:7" hidden="1" x14ac:dyDescent="0.25">
      <c r="G145" s="100"/>
    </row>
    <row r="146" spans="7:7" hidden="1" x14ac:dyDescent="0.25">
      <c r="G146" s="100"/>
    </row>
    <row r="147" spans="7:7" hidden="1" x14ac:dyDescent="0.25">
      <c r="G147" s="100"/>
    </row>
    <row r="148" spans="7:7" hidden="1" x14ac:dyDescent="0.25">
      <c r="G148" s="100"/>
    </row>
    <row r="149" spans="7:7" hidden="1" x14ac:dyDescent="0.25">
      <c r="G149" s="100"/>
    </row>
    <row r="150" spans="7:7" hidden="1" x14ac:dyDescent="0.25">
      <c r="G150" s="100"/>
    </row>
    <row r="151" spans="7:7" hidden="1" x14ac:dyDescent="0.25">
      <c r="G151" s="100"/>
    </row>
    <row r="152" spans="7:7" hidden="1" x14ac:dyDescent="0.25">
      <c r="G152" s="100"/>
    </row>
    <row r="153" spans="7:7" hidden="1" x14ac:dyDescent="0.25">
      <c r="G153" s="100"/>
    </row>
    <row r="154" spans="7:7" hidden="1" x14ac:dyDescent="0.25">
      <c r="G154" s="100"/>
    </row>
    <row r="155" spans="7:7" hidden="1" x14ac:dyDescent="0.25">
      <c r="G155" s="100"/>
    </row>
    <row r="156" spans="7:7" hidden="1" x14ac:dyDescent="0.25">
      <c r="G156" s="100"/>
    </row>
    <row r="157" spans="7:7" hidden="1" x14ac:dyDescent="0.25">
      <c r="G157" s="100"/>
    </row>
    <row r="158" spans="7:7" hidden="1" x14ac:dyDescent="0.25">
      <c r="G158" s="100"/>
    </row>
    <row r="159" spans="7:7" hidden="1" x14ac:dyDescent="0.25">
      <c r="G159" s="100"/>
    </row>
    <row r="160" spans="7:7" hidden="1" x14ac:dyDescent="0.25">
      <c r="G160" s="100"/>
    </row>
    <row r="161" spans="7:7" hidden="1" x14ac:dyDescent="0.25">
      <c r="G161" s="100"/>
    </row>
    <row r="162" spans="7:7" hidden="1" x14ac:dyDescent="0.25">
      <c r="G162" s="100"/>
    </row>
    <row r="163" spans="7:7" hidden="1" x14ac:dyDescent="0.25">
      <c r="G163" s="100"/>
    </row>
    <row r="164" spans="7:7" hidden="1" x14ac:dyDescent="0.25">
      <c r="G164" s="100"/>
    </row>
    <row r="165" spans="7:7" hidden="1" x14ac:dyDescent="0.25">
      <c r="G165" s="100"/>
    </row>
    <row r="166" spans="7:7" hidden="1" x14ac:dyDescent="0.25">
      <c r="G166" s="100"/>
    </row>
    <row r="167" spans="7:7" hidden="1" x14ac:dyDescent="0.25">
      <c r="G167" s="100"/>
    </row>
    <row r="168" spans="7:7" hidden="1" x14ac:dyDescent="0.25">
      <c r="G168" s="100"/>
    </row>
    <row r="169" spans="7:7" hidden="1" x14ac:dyDescent="0.25">
      <c r="G169" s="100"/>
    </row>
    <row r="170" spans="7:7" hidden="1" x14ac:dyDescent="0.25">
      <c r="G170" s="100"/>
    </row>
    <row r="171" spans="7:7" hidden="1" x14ac:dyDescent="0.25">
      <c r="G171" s="100"/>
    </row>
    <row r="172" spans="7:7" hidden="1" x14ac:dyDescent="0.25">
      <c r="G172" s="100"/>
    </row>
    <row r="173" spans="7:7" hidden="1" x14ac:dyDescent="0.25">
      <c r="G173" s="100"/>
    </row>
    <row r="174" spans="7:7" hidden="1" x14ac:dyDescent="0.25">
      <c r="G174" s="100"/>
    </row>
    <row r="175" spans="7:7" hidden="1" x14ac:dyDescent="0.25">
      <c r="G175" s="100"/>
    </row>
    <row r="176" spans="7:7" hidden="1" x14ac:dyDescent="0.25">
      <c r="G176" s="100"/>
    </row>
    <row r="177" spans="7:7" hidden="1" x14ac:dyDescent="0.25">
      <c r="G177" s="100"/>
    </row>
    <row r="178" spans="7:7" hidden="1" x14ac:dyDescent="0.25">
      <c r="G178" s="100"/>
    </row>
    <row r="179" spans="7:7" hidden="1" x14ac:dyDescent="0.25">
      <c r="G179" s="100"/>
    </row>
    <row r="180" spans="7:7" hidden="1" x14ac:dyDescent="0.25">
      <c r="G180" s="100"/>
    </row>
    <row r="181" spans="7:7" hidden="1" x14ac:dyDescent="0.25">
      <c r="G181" s="100"/>
    </row>
    <row r="182" spans="7:7" hidden="1" x14ac:dyDescent="0.25">
      <c r="G182" s="100"/>
    </row>
    <row r="183" spans="7:7" hidden="1" x14ac:dyDescent="0.25">
      <c r="G183" s="100"/>
    </row>
    <row r="184" spans="7:7" hidden="1" x14ac:dyDescent="0.25">
      <c r="G184" s="100"/>
    </row>
    <row r="185" spans="7:7" hidden="1" x14ac:dyDescent="0.25">
      <c r="G185" s="100"/>
    </row>
    <row r="186" spans="7:7" hidden="1" x14ac:dyDescent="0.25">
      <c r="G186" s="100"/>
    </row>
    <row r="187" spans="7:7" hidden="1" x14ac:dyDescent="0.25">
      <c r="G187" s="100"/>
    </row>
    <row r="188" spans="7:7" hidden="1" x14ac:dyDescent="0.25">
      <c r="G188" s="100"/>
    </row>
    <row r="189" spans="7:7" hidden="1" x14ac:dyDescent="0.25">
      <c r="G189" s="100"/>
    </row>
    <row r="190" spans="7:7" hidden="1" x14ac:dyDescent="0.25">
      <c r="G190" s="100"/>
    </row>
    <row r="191" spans="7:7" hidden="1" x14ac:dyDescent="0.25">
      <c r="G191" s="100"/>
    </row>
    <row r="192" spans="7:7" hidden="1" x14ac:dyDescent="0.25">
      <c r="G192" s="100"/>
    </row>
    <row r="193" spans="7:7" hidden="1" x14ac:dyDescent="0.25">
      <c r="G193" s="100"/>
    </row>
    <row r="194" spans="7:7" hidden="1" x14ac:dyDescent="0.25">
      <c r="G194" s="100"/>
    </row>
    <row r="195" spans="7:7" hidden="1" x14ac:dyDescent="0.25">
      <c r="G195" s="100"/>
    </row>
    <row r="196" spans="7:7" hidden="1" x14ac:dyDescent="0.25">
      <c r="G196" s="100"/>
    </row>
    <row r="197" spans="7:7" hidden="1" x14ac:dyDescent="0.25">
      <c r="G197" s="100"/>
    </row>
    <row r="198" spans="7:7" hidden="1" x14ac:dyDescent="0.25">
      <c r="G198" s="100"/>
    </row>
    <row r="199" spans="7:7" hidden="1" x14ac:dyDescent="0.25">
      <c r="G199" s="100"/>
    </row>
    <row r="369" spans="7:7" x14ac:dyDescent="0.25"/>
    <row r="384" spans="7:7" hidden="1" x14ac:dyDescent="0.25">
      <c r="G384" s="100"/>
    </row>
    <row r="385" spans="7:7" hidden="1" x14ac:dyDescent="0.25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D18" sqref="D18"/>
    </sheetView>
  </sheetViews>
  <sheetFormatPr defaultColWidth="8.85546875" defaultRowHeight="17.100000000000001" customHeight="1" x14ac:dyDescent="0.25"/>
  <cols>
    <col min="1" max="1" width="3.42578125" customWidth="1"/>
    <col min="2" max="6" width="15.7109375" customWidth="1"/>
  </cols>
  <sheetData>
    <row r="2" spans="2:6" ht="27.75" customHeight="1" x14ac:dyDescent="0.25">
      <c r="B2" s="48" t="s">
        <v>58</v>
      </c>
      <c r="C2" s="170" t="str">
        <f>RIGHT(Programmering!$D$6,LEN(Programmering!$D$6)-8)</f>
        <v>Commercieel medewerker</v>
      </c>
      <c r="D2" s="170"/>
      <c r="E2" s="170"/>
      <c r="F2" s="171"/>
    </row>
    <row r="3" spans="2:6" ht="17.100000000000001" customHeight="1" x14ac:dyDescent="0.25">
      <c r="B3" s="47" t="s">
        <v>59</v>
      </c>
      <c r="C3" t="str">
        <f>LEFT(Programmering!$D$6,5)</f>
        <v>25874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25">
      <c r="B4" s="47" t="s">
        <v>16</v>
      </c>
      <c r="C4" s="2">
        <f>Programmering!$N$9</f>
        <v>3</v>
      </c>
      <c r="E4" s="12" t="s">
        <v>7</v>
      </c>
      <c r="F4" s="31" t="str">
        <f>Programmering!$D$7</f>
        <v>BOL</v>
      </c>
    </row>
    <row r="5" spans="2:6" ht="17.100000000000001" customHeight="1" x14ac:dyDescent="0.25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46599</v>
      </c>
    </row>
    <row r="6" spans="2:6" ht="17.100000000000001" customHeight="1" x14ac:dyDescent="0.25">
      <c r="B6" s="35"/>
      <c r="C6" s="41"/>
      <c r="D6" s="41"/>
      <c r="E6" s="41"/>
      <c r="F6" s="30"/>
    </row>
    <row r="7" spans="2:6" ht="17.100000000000001" customHeight="1" x14ac:dyDescent="0.25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25">
      <c r="B8" s="167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 x14ac:dyDescent="0.25">
      <c r="B9" s="168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 x14ac:dyDescent="0.25">
      <c r="B10" s="168"/>
      <c r="C10" s="28">
        <v>3</v>
      </c>
      <c r="D10" s="29">
        <f>Programmering!H28+Programmering!I28</f>
        <v>0</v>
      </c>
      <c r="E10" s="28">
        <f>Programmering!J28</f>
        <v>350</v>
      </c>
      <c r="F10" s="28">
        <f>Programmering!K28</f>
        <v>350</v>
      </c>
    </row>
    <row r="11" spans="2:6" ht="17.100000000000001" customHeight="1" x14ac:dyDescent="0.25">
      <c r="B11" s="169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 x14ac:dyDescent="0.25">
      <c r="B12" s="163" t="s">
        <v>65</v>
      </c>
      <c r="C12" s="164"/>
      <c r="D12" s="32">
        <f>Programmering!H30+Programmering!I30</f>
        <v>687.5</v>
      </c>
      <c r="E12" s="33">
        <f>Programmering!J30</f>
        <v>350</v>
      </c>
      <c r="F12" s="33">
        <f>Programmering!K30</f>
        <v>1037.5</v>
      </c>
    </row>
    <row r="13" spans="2:6" ht="17.100000000000001" customHeight="1" x14ac:dyDescent="0.25">
      <c r="B13" s="38"/>
      <c r="D13" s="34"/>
      <c r="E13" s="34"/>
      <c r="F13" s="42"/>
    </row>
    <row r="14" spans="2:6" ht="17.100000000000001" customHeight="1" x14ac:dyDescent="0.25">
      <c r="B14" s="167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 x14ac:dyDescent="0.25">
      <c r="B15" s="168"/>
      <c r="C15" s="28">
        <v>2</v>
      </c>
      <c r="D15" s="29">
        <f>Programmering!H33+Programmering!I33</f>
        <v>0</v>
      </c>
      <c r="E15" s="29">
        <f>Programmering!J33</f>
        <v>350</v>
      </c>
      <c r="F15" s="29">
        <f>Programmering!K33</f>
        <v>350</v>
      </c>
    </row>
    <row r="16" spans="2:6" ht="17.100000000000001" customHeight="1" x14ac:dyDescent="0.25">
      <c r="B16" s="168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 x14ac:dyDescent="0.25">
      <c r="B17" s="169"/>
      <c r="C17" s="28">
        <v>4</v>
      </c>
      <c r="D17" s="29">
        <f>Programmering!H35+Programmering!I35</f>
        <v>0</v>
      </c>
      <c r="E17" s="29">
        <f>Programmering!J35</f>
        <v>240</v>
      </c>
      <c r="F17" s="29">
        <f>Programmering!K35</f>
        <v>240</v>
      </c>
    </row>
    <row r="18" spans="2:6" ht="17.100000000000001" customHeight="1" x14ac:dyDescent="0.25">
      <c r="B18" s="163" t="str">
        <f>IF(Programmering!G36="","","Totaal ")</f>
        <v xml:space="preserve">Totaal </v>
      </c>
      <c r="C18" s="164"/>
      <c r="D18" s="32">
        <f>Programmering!H36+Programmering!I36</f>
        <v>475</v>
      </c>
      <c r="E18" s="32">
        <f>Programmering!J36</f>
        <v>590</v>
      </c>
      <c r="F18" s="32">
        <f>Programmering!K36</f>
        <v>1065</v>
      </c>
    </row>
    <row r="19" spans="2:6" ht="17.100000000000001" customHeight="1" x14ac:dyDescent="0.25">
      <c r="B19" s="39"/>
      <c r="C19" s="40"/>
      <c r="D19" s="43"/>
      <c r="E19" s="43"/>
      <c r="F19" s="29"/>
    </row>
    <row r="20" spans="2:6" ht="17.100000000000001" customHeight="1" x14ac:dyDescent="0.25">
      <c r="B20" s="168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25">
      <c r="B21" s="168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25">
      <c r="B22" s="168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25">
      <c r="B23" s="169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25">
      <c r="B24" s="163" t="str">
        <f>IF(Programmering!G42="","","Totaal ")</f>
        <v/>
      </c>
      <c r="C24" s="164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25">
      <c r="B25" s="38"/>
      <c r="D25" s="43"/>
      <c r="E25" s="43"/>
      <c r="F25" s="29"/>
    </row>
    <row r="26" spans="2:6" ht="17.100000000000001" customHeight="1" x14ac:dyDescent="0.25">
      <c r="B26" s="167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25">
      <c r="B27" s="168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25">
      <c r="B28" s="168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25">
      <c r="B29" s="169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25">
      <c r="B30" s="163" t="str">
        <f>IF(Programmering!G48="","","Totaal ")</f>
        <v/>
      </c>
      <c r="C30" s="164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25">
      <c r="B31" s="38"/>
      <c r="D31" s="43"/>
      <c r="E31" s="43"/>
      <c r="F31" s="29"/>
    </row>
    <row r="32" spans="2:6" ht="17.100000000000001" customHeight="1" x14ac:dyDescent="0.25">
      <c r="B32" s="165" t="s">
        <v>66</v>
      </c>
      <c r="C32" s="166"/>
      <c r="D32" s="51">
        <f>Programmering!I51</f>
        <v>1162.5</v>
      </c>
      <c r="E32" s="52">
        <f>Programmering!J51</f>
        <v>940</v>
      </c>
      <c r="F32" s="52">
        <f>Programmering!K51</f>
        <v>2102.5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10" sqref="C10"/>
    </sheetView>
  </sheetViews>
  <sheetFormatPr defaultColWidth="9.28515625" defaultRowHeight="15" customHeight="1" x14ac:dyDescent="0.25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42578125" style="1" customWidth="1"/>
  </cols>
  <sheetData>
    <row r="1" spans="2:6" ht="18" customHeight="1" x14ac:dyDescent="0.25"/>
    <row r="2" spans="2:6" ht="15" customHeight="1" x14ac:dyDescent="0.25">
      <c r="B2" s="54"/>
      <c r="C2" s="55"/>
      <c r="D2" s="55"/>
      <c r="E2" s="55"/>
      <c r="F2" s="54"/>
    </row>
    <row r="3" spans="2:6" ht="15" customHeight="1" x14ac:dyDescent="0.25">
      <c r="B3" s="53"/>
      <c r="C3" s="60" t="s">
        <v>67</v>
      </c>
      <c r="D3" s="55"/>
      <c r="E3" s="55"/>
      <c r="F3" s="55"/>
    </row>
    <row r="4" spans="2:6" ht="30" customHeight="1" x14ac:dyDescent="0.25">
      <c r="B4" s="53"/>
      <c r="C4" s="56" t="s">
        <v>68</v>
      </c>
      <c r="D4" s="56" t="s">
        <v>69</v>
      </c>
      <c r="E4" s="55"/>
      <c r="F4" s="55"/>
    </row>
    <row r="5" spans="2:6" ht="15" customHeight="1" x14ac:dyDescent="0.25">
      <c r="B5" s="53"/>
      <c r="C5" s="58">
        <v>30</v>
      </c>
      <c r="D5" s="57">
        <f>C5*Parameters!$B$92/60</f>
        <v>25</v>
      </c>
      <c r="E5" s="55"/>
      <c r="F5" s="55"/>
    </row>
    <row r="6" spans="2:6" ht="15" customHeight="1" x14ac:dyDescent="0.25">
      <c r="B6" s="53"/>
      <c r="C6" s="59"/>
      <c r="D6" s="59"/>
      <c r="E6" s="55"/>
      <c r="F6" s="55"/>
    </row>
    <row r="7" spans="2:6" ht="15" customHeight="1" x14ac:dyDescent="0.25">
      <c r="B7" s="53"/>
      <c r="C7" s="61" t="s">
        <v>70</v>
      </c>
      <c r="D7" s="55"/>
      <c r="E7" s="55"/>
      <c r="F7" s="55"/>
    </row>
    <row r="8" spans="2:6" ht="30.75" customHeight="1" x14ac:dyDescent="0.25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25">
      <c r="B9" s="53"/>
      <c r="C9" s="58">
        <v>30</v>
      </c>
      <c r="D9" s="58">
        <v>9.5</v>
      </c>
      <c r="E9" s="57">
        <f>C9*Parameters!$B$92/60*D9</f>
        <v>237.5</v>
      </c>
      <c r="F9" s="55"/>
    </row>
    <row r="10" spans="2:6" ht="15" customHeight="1" x14ac:dyDescent="0.25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25">
      <c r="B11" s="53"/>
      <c r="C11" s="59"/>
      <c r="D11" s="68" t="s">
        <v>71</v>
      </c>
      <c r="E11" s="57">
        <f>SUM(E9:E10)</f>
        <v>237.5</v>
      </c>
      <c r="F11" s="55"/>
    </row>
    <row r="12" spans="2:6" ht="15" customHeight="1" x14ac:dyDescent="0.25">
      <c r="B12" s="53"/>
      <c r="C12" s="59"/>
      <c r="D12" s="59"/>
      <c r="E12" s="59"/>
      <c r="F12" s="55"/>
    </row>
    <row r="13" spans="2:6" ht="30.75" customHeight="1" x14ac:dyDescent="0.25">
      <c r="B13" s="53"/>
      <c r="C13" s="172" t="s">
        <v>72</v>
      </c>
      <c r="D13" s="172"/>
      <c r="E13" s="172"/>
      <c r="F13" s="55"/>
    </row>
    <row r="14" spans="2:6" ht="15" customHeight="1" x14ac:dyDescent="0.25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ColWidth="8.85546875" defaultRowHeight="17.100000000000001" customHeight="1" x14ac:dyDescent="0.25"/>
  <cols>
    <col min="1" max="1" width="3.85546875" customWidth="1"/>
    <col min="2" max="2" width="104.28515625" bestFit="1" customWidth="1"/>
  </cols>
  <sheetData>
    <row r="1" spans="1:2" s="65" customFormat="1" ht="18" customHeight="1" x14ac:dyDescent="0.3">
      <c r="A1" s="173" t="s">
        <v>73</v>
      </c>
      <c r="B1" s="173"/>
    </row>
    <row r="2" spans="1:2" ht="17.100000000000001" customHeight="1" x14ac:dyDescent="0.3">
      <c r="A2" s="64"/>
      <c r="B2" s="66"/>
    </row>
    <row r="3" spans="1:2" ht="17.100000000000001" customHeight="1" x14ac:dyDescent="0.25">
      <c r="A3" t="s">
        <v>74</v>
      </c>
      <c r="B3" t="s">
        <v>75</v>
      </c>
    </row>
    <row r="4" spans="1:2" ht="15" x14ac:dyDescent="0.25">
      <c r="A4" t="s">
        <v>76</v>
      </c>
      <c r="B4" t="s">
        <v>77</v>
      </c>
    </row>
    <row r="5" spans="1:2" ht="17.100000000000001" customHeight="1" x14ac:dyDescent="0.25">
      <c r="B5" t="s">
        <v>78</v>
      </c>
    </row>
    <row r="6" spans="1:2" ht="17.100000000000001" customHeight="1" x14ac:dyDescent="0.25">
      <c r="B6" t="s">
        <v>79</v>
      </c>
    </row>
    <row r="7" spans="1:2" ht="15" x14ac:dyDescent="0.25">
      <c r="A7" t="s">
        <v>80</v>
      </c>
      <c r="B7" t="s">
        <v>81</v>
      </c>
    </row>
    <row r="8" spans="1:2" ht="15" x14ac:dyDescent="0.25">
      <c r="B8" t="s">
        <v>82</v>
      </c>
    </row>
    <row r="9" spans="1:2" ht="15" x14ac:dyDescent="0.25">
      <c r="B9" t="s">
        <v>83</v>
      </c>
    </row>
    <row r="10" spans="1:2" ht="15" x14ac:dyDescent="0.25">
      <c r="B10" t="s">
        <v>84</v>
      </c>
    </row>
    <row r="11" spans="1:2" ht="15" x14ac:dyDescent="0.25">
      <c r="A11" t="s">
        <v>85</v>
      </c>
      <c r="B11" t="s">
        <v>86</v>
      </c>
    </row>
    <row r="12" spans="1:2" ht="17.100000000000001" customHeight="1" x14ac:dyDescent="0.25">
      <c r="A12" t="s">
        <v>87</v>
      </c>
      <c r="B12" t="s">
        <v>88</v>
      </c>
    </row>
    <row r="13" spans="1:2" s="67" customFormat="1" ht="17.100000000000001" customHeight="1" x14ac:dyDescent="0.3">
      <c r="A13"/>
      <c r="B13" t="s">
        <v>89</v>
      </c>
    </row>
    <row r="14" spans="1:2" s="67" customFormat="1" ht="17.100000000000001" customHeight="1" x14ac:dyDescent="0.3">
      <c r="A14"/>
      <c r="B14" t="s">
        <v>90</v>
      </c>
    </row>
    <row r="15" spans="1:2" ht="17.100000000000001" customHeight="1" x14ac:dyDescent="0.25">
      <c r="B15" t="s">
        <v>91</v>
      </c>
    </row>
    <row r="16" spans="1:2" ht="17.100000000000001" customHeight="1" x14ac:dyDescent="0.25">
      <c r="B16" t="s">
        <v>92</v>
      </c>
    </row>
    <row r="17" spans="1:2" ht="17.100000000000001" customHeight="1" x14ac:dyDescent="0.25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ColWidth="8.85546875" defaultRowHeight="15" x14ac:dyDescent="0.2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42578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 x14ac:dyDescent="0.25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25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25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25874</v>
      </c>
      <c r="C3" t="str">
        <f>RIGHT(Programmering!D6,LEN(Programmering!D6)-8)</f>
        <v>Commercieel medewerker</v>
      </c>
      <c r="D3">
        <f>Programmering!N9</f>
        <v>3</v>
      </c>
      <c r="E3" t="str">
        <f>Programmering!$D$7</f>
        <v>BOL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46599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20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350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350</v>
      </c>
      <c r="X3" s="22">
        <f>Programmering!K30</f>
        <v>1037.5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350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0</v>
      </c>
      <c r="AF3" s="22">
        <f>Programmering!J35</f>
        <v>240</v>
      </c>
      <c r="AG3" s="22">
        <f>Programmering!H36+Programmering!I36</f>
        <v>475</v>
      </c>
      <c r="AH3" s="22">
        <f>Programmering!J36</f>
        <v>590</v>
      </c>
      <c r="AI3" s="22">
        <f>Programmering!K36</f>
        <v>1065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25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25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25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25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25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25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25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25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25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25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25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25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25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25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25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25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25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25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25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25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25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25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25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25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25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25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25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25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25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25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25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25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25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25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25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25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25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25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25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25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25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25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25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25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25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25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25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25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25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25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25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25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25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25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25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25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25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25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25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25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25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25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25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25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25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25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25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25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25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25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25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25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25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25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25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25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25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25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25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25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25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25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25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25">
      <c r="A86" s="2" t="s">
        <v>152</v>
      </c>
      <c r="B86" s="1">
        <v>9</v>
      </c>
      <c r="C86" s="1">
        <v>9.5</v>
      </c>
    </row>
    <row r="87" spans="1:19" ht="15" customHeight="1" x14ac:dyDescent="0.25">
      <c r="A87" s="2" t="s">
        <v>153</v>
      </c>
      <c r="B87" s="1">
        <v>9</v>
      </c>
      <c r="C87" s="1">
        <v>9.5</v>
      </c>
    </row>
    <row r="88" spans="1:19" ht="15" customHeight="1" x14ac:dyDescent="0.25">
      <c r="A88" s="2" t="s">
        <v>154</v>
      </c>
      <c r="B88" s="1">
        <v>8</v>
      </c>
      <c r="C88" s="1">
        <v>8.5</v>
      </c>
    </row>
    <row r="89" spans="1:19" ht="15" customHeight="1" x14ac:dyDescent="0.25">
      <c r="A89" s="2"/>
    </row>
    <row r="90" spans="1:19" s="5" customFormat="1" ht="15" customHeight="1" x14ac:dyDescent="0.25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25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25">
      <c r="A92" t="s">
        <v>160</v>
      </c>
      <c r="B92" s="1">
        <v>50</v>
      </c>
    </row>
    <row r="93" spans="1:19" ht="15" customHeight="1" x14ac:dyDescent="0.25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25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25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25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25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25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25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25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25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25">
      <c r="B102"/>
      <c r="C102"/>
      <c r="D102"/>
      <c r="E102"/>
      <c r="F102"/>
      <c r="G102"/>
      <c r="H102"/>
    </row>
    <row r="103" spans="1:19" s="5" customFormat="1" ht="15" customHeight="1" x14ac:dyDescent="0.25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25">
      <c r="A104" t="s">
        <v>290</v>
      </c>
      <c r="B104" s="1">
        <v>1</v>
      </c>
    </row>
    <row r="105" spans="1:19" ht="15" customHeight="1" x14ac:dyDescent="0.25">
      <c r="A105" t="s">
        <v>235</v>
      </c>
      <c r="B105" s="1">
        <v>2</v>
      </c>
    </row>
    <row r="106" spans="1:19" ht="15" customHeight="1" x14ac:dyDescent="0.25">
      <c r="A106" t="s">
        <v>12</v>
      </c>
      <c r="B106" s="1">
        <v>3</v>
      </c>
    </row>
    <row r="107" spans="1:19" ht="15" customHeight="1" x14ac:dyDescent="0.25">
      <c r="A107" t="s">
        <v>171</v>
      </c>
      <c r="B107" s="1">
        <v>4</v>
      </c>
    </row>
    <row r="109" spans="1:19" s="5" customFormat="1" ht="15" customHeight="1" x14ac:dyDescent="0.25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25">
      <c r="A110" t="s">
        <v>173</v>
      </c>
    </row>
    <row r="111" spans="1:19" ht="15" customHeight="1" x14ac:dyDescent="0.25">
      <c r="A111" t="s">
        <v>4</v>
      </c>
    </row>
    <row r="112" spans="1:19" ht="15" customHeight="1" x14ac:dyDescent="0.25">
      <c r="A112" t="s">
        <v>307</v>
      </c>
    </row>
    <row r="113" spans="1:1" ht="15" customHeight="1" x14ac:dyDescent="0.25">
      <c r="A113" t="s">
        <v>174</v>
      </c>
    </row>
    <row r="114" spans="1:1" ht="15" customHeight="1" x14ac:dyDescent="0.25">
      <c r="A114" t="s">
        <v>175</v>
      </c>
    </row>
    <row r="115" spans="1:1" ht="15" customHeight="1" x14ac:dyDescent="0.25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40625" defaultRowHeight="17.100000000000001" customHeight="1" x14ac:dyDescent="0.25"/>
  <cols>
    <col min="1" max="1" width="81" bestFit="1" customWidth="1"/>
    <col min="2" max="2" width="7.28515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 x14ac:dyDescent="0.25">
      <c r="A1" s="12" t="s">
        <v>177</v>
      </c>
      <c r="B1" s="69" t="s">
        <v>101</v>
      </c>
      <c r="C1" s="12" t="s">
        <v>2</v>
      </c>
    </row>
    <row r="2" spans="1:3" ht="17.100000000000001" customHeight="1" x14ac:dyDescent="0.25">
      <c r="A2" s="138" t="s">
        <v>291</v>
      </c>
      <c r="B2" s="1">
        <v>1</v>
      </c>
      <c r="C2" t="s">
        <v>165</v>
      </c>
    </row>
    <row r="3" spans="1:3" ht="17.100000000000001" customHeight="1" x14ac:dyDescent="0.25">
      <c r="A3" s="138" t="s">
        <v>178</v>
      </c>
      <c r="B3" s="1">
        <v>2</v>
      </c>
      <c r="C3" t="s">
        <v>165</v>
      </c>
    </row>
    <row r="4" spans="1:3" ht="17.100000000000001" customHeight="1" x14ac:dyDescent="0.25">
      <c r="A4" s="138" t="s">
        <v>179</v>
      </c>
      <c r="B4" s="99">
        <v>3</v>
      </c>
      <c r="C4" t="s">
        <v>165</v>
      </c>
    </row>
    <row r="5" spans="1:3" ht="17.100000000000001" customHeight="1" x14ac:dyDescent="0.25">
      <c r="A5" s="138" t="s">
        <v>236</v>
      </c>
      <c r="B5" s="1">
        <v>1</v>
      </c>
      <c r="C5" t="s">
        <v>165</v>
      </c>
    </row>
    <row r="6" spans="1:3" ht="17.100000000000001" customHeight="1" x14ac:dyDescent="0.25">
      <c r="A6" s="138" t="s">
        <v>237</v>
      </c>
      <c r="B6" s="1">
        <v>1</v>
      </c>
      <c r="C6" t="s">
        <v>165</v>
      </c>
    </row>
    <row r="7" spans="1:3" ht="17.100000000000001" customHeight="1" x14ac:dyDescent="0.25">
      <c r="A7" s="138" t="s">
        <v>238</v>
      </c>
      <c r="B7" s="1">
        <v>1</v>
      </c>
      <c r="C7" t="s">
        <v>165</v>
      </c>
    </row>
    <row r="8" spans="1:3" ht="17.100000000000001" customHeight="1" x14ac:dyDescent="0.25">
      <c r="A8" s="138" t="s">
        <v>239</v>
      </c>
      <c r="B8" s="1">
        <v>1</v>
      </c>
      <c r="C8" t="s">
        <v>165</v>
      </c>
    </row>
    <row r="9" spans="1:3" ht="17.100000000000001" customHeight="1" x14ac:dyDescent="0.25">
      <c r="A9" s="138" t="s">
        <v>240</v>
      </c>
      <c r="B9" s="1">
        <v>1</v>
      </c>
      <c r="C9" t="s">
        <v>165</v>
      </c>
    </row>
    <row r="10" spans="1:3" ht="17.100000000000001" customHeight="1" x14ac:dyDescent="0.25">
      <c r="A10" s="138" t="s">
        <v>292</v>
      </c>
      <c r="B10" s="1">
        <v>1</v>
      </c>
      <c r="C10" t="s">
        <v>165</v>
      </c>
    </row>
    <row r="11" spans="1:3" ht="17.100000000000001" customHeight="1" x14ac:dyDescent="0.25">
      <c r="A11" s="138" t="s">
        <v>241</v>
      </c>
      <c r="B11" s="1">
        <v>1</v>
      </c>
      <c r="C11" t="s">
        <v>165</v>
      </c>
    </row>
    <row r="12" spans="1:3" ht="17.100000000000001" customHeight="1" x14ac:dyDescent="0.25">
      <c r="A12" s="138" t="s">
        <v>242</v>
      </c>
      <c r="B12" s="1">
        <v>1</v>
      </c>
      <c r="C12" t="s">
        <v>165</v>
      </c>
    </row>
    <row r="13" spans="1:3" ht="17.100000000000001" customHeight="1" x14ac:dyDescent="0.25">
      <c r="A13" s="138" t="s">
        <v>243</v>
      </c>
      <c r="B13" s="1">
        <v>1</v>
      </c>
      <c r="C13" t="s">
        <v>165</v>
      </c>
    </row>
    <row r="14" spans="1:3" ht="17.100000000000001" customHeight="1" x14ac:dyDescent="0.25">
      <c r="A14" s="138" t="s">
        <v>245</v>
      </c>
      <c r="B14" s="1">
        <v>2</v>
      </c>
      <c r="C14" t="s">
        <v>165</v>
      </c>
    </row>
    <row r="15" spans="1:3" ht="17.100000000000001" customHeight="1" x14ac:dyDescent="0.25">
      <c r="A15" s="138" t="s">
        <v>244</v>
      </c>
      <c r="B15" s="1">
        <v>2</v>
      </c>
      <c r="C15" t="s">
        <v>165</v>
      </c>
    </row>
    <row r="17" spans="1:4" ht="17.100000000000001" customHeight="1" x14ac:dyDescent="0.25">
      <c r="A17" s="12" t="s">
        <v>180</v>
      </c>
      <c r="D17"/>
    </row>
    <row r="18" spans="1:4" ht="17.100000000000001" customHeight="1" x14ac:dyDescent="0.25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25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25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25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25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25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25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25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25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25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25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25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25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25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25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25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25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25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25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25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25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25">
      <c r="D39"/>
    </row>
    <row r="40" spans="1:4" ht="17.100000000000001" customHeight="1" x14ac:dyDescent="0.25">
      <c r="A40" s="12" t="s">
        <v>194</v>
      </c>
      <c r="B40" s="69"/>
      <c r="D40"/>
    </row>
    <row r="41" spans="1:4" ht="17.100000000000001" customHeight="1" x14ac:dyDescent="0.25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25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25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25">
      <c r="A44" t="s">
        <v>6</v>
      </c>
      <c r="B44" s="1">
        <v>3</v>
      </c>
      <c r="C44" t="s">
        <v>285</v>
      </c>
      <c r="D44"/>
    </row>
    <row r="45" spans="1:4" ht="17.100000000000001" customHeight="1" x14ac:dyDescent="0.25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25">
      <c r="D46"/>
    </row>
    <row r="47" spans="1:4" ht="17.100000000000001" customHeight="1" x14ac:dyDescent="0.25">
      <c r="A47" s="12" t="s">
        <v>198</v>
      </c>
      <c r="D47"/>
    </row>
    <row r="48" spans="1:4" ht="17.100000000000001" customHeight="1" x14ac:dyDescent="0.25">
      <c r="A48" s="12" t="s">
        <v>173</v>
      </c>
      <c r="D48"/>
    </row>
    <row r="49" spans="1:4" ht="17.100000000000001" customHeight="1" x14ac:dyDescent="0.25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25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25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25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25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25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25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25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25">
      <c r="D57"/>
    </row>
    <row r="58" spans="1:4" ht="17.100000000000001" customHeight="1" x14ac:dyDescent="0.25">
      <c r="A58" s="12" t="s">
        <v>4</v>
      </c>
    </row>
    <row r="59" spans="1:4" ht="17.100000000000001" customHeight="1" x14ac:dyDescent="0.25">
      <c r="A59" t="s">
        <v>201</v>
      </c>
      <c r="B59" s="1">
        <v>3</v>
      </c>
      <c r="C59" t="s">
        <v>167</v>
      </c>
    </row>
    <row r="60" spans="1:4" ht="17.100000000000001" customHeight="1" x14ac:dyDescent="0.25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25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25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25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25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25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25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25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25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25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25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25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25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25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25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25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25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25">
      <c r="D77"/>
    </row>
    <row r="78" spans="1:4" ht="17.100000000000001" customHeight="1" x14ac:dyDescent="0.25">
      <c r="A78" s="12" t="s">
        <v>307</v>
      </c>
      <c r="D78"/>
    </row>
    <row r="79" spans="1:4" ht="17.100000000000001" customHeight="1" x14ac:dyDescent="0.25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25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25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25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25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25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25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25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25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25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25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25">
      <c r="A90" s="12"/>
      <c r="D90"/>
    </row>
    <row r="91" spans="1:4" ht="17.100000000000001" customHeight="1" x14ac:dyDescent="0.25">
      <c r="A91" s="12" t="s">
        <v>210</v>
      </c>
    </row>
    <row r="92" spans="1:4" ht="17.100000000000001" customHeight="1" x14ac:dyDescent="0.25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25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25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25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25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25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25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25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25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25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25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25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25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25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25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25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25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25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25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25">
      <c r="D111"/>
    </row>
    <row r="112" spans="1:4" ht="17.100000000000001" customHeight="1" x14ac:dyDescent="0.25">
      <c r="A112" s="12" t="s">
        <v>214</v>
      </c>
      <c r="D112"/>
    </row>
    <row r="113" spans="1:4" ht="17.100000000000001" customHeight="1" x14ac:dyDescent="0.25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25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25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25">
      <c r="A116" t="s">
        <v>266</v>
      </c>
      <c r="B116" s="1">
        <v>4</v>
      </c>
      <c r="C116" t="s">
        <v>167</v>
      </c>
    </row>
    <row r="117" spans="1:4" ht="17.100000000000001" customHeight="1" x14ac:dyDescent="0.25">
      <c r="A117" t="s">
        <v>314</v>
      </c>
      <c r="B117" s="1">
        <v>2</v>
      </c>
      <c r="C117" t="s">
        <v>167</v>
      </c>
    </row>
    <row r="118" spans="1:4" ht="17.100000000000001" customHeight="1" x14ac:dyDescent="0.25">
      <c r="A118" t="s">
        <v>317</v>
      </c>
      <c r="B118" s="1">
        <v>3</v>
      </c>
      <c r="C118" t="s">
        <v>167</v>
      </c>
    </row>
    <row r="119" spans="1:4" ht="17.100000000000001" customHeight="1" x14ac:dyDescent="0.25">
      <c r="A119" t="s">
        <v>316</v>
      </c>
      <c r="B119" s="1">
        <v>4</v>
      </c>
      <c r="C119" t="s">
        <v>167</v>
      </c>
    </row>
    <row r="120" spans="1:4" ht="17.100000000000001" customHeight="1" x14ac:dyDescent="0.25">
      <c r="D120"/>
    </row>
    <row r="121" spans="1:4" ht="17.100000000000001" customHeight="1" x14ac:dyDescent="0.25">
      <c r="A121" s="12" t="s">
        <v>176</v>
      </c>
    </row>
    <row r="122" spans="1:4" ht="17.100000000000001" customHeight="1" x14ac:dyDescent="0.25">
      <c r="A122" t="s">
        <v>272</v>
      </c>
      <c r="B122" s="1">
        <v>4</v>
      </c>
      <c r="C122" t="s">
        <v>167</v>
      </c>
    </row>
    <row r="123" spans="1:4" ht="17.100000000000001" customHeight="1" x14ac:dyDescent="0.25">
      <c r="A123" t="s">
        <v>217</v>
      </c>
      <c r="B123" s="1">
        <v>3</v>
      </c>
      <c r="C123" t="s">
        <v>167</v>
      </c>
    </row>
    <row r="124" spans="1:4" ht="17.100000000000001" customHeight="1" x14ac:dyDescent="0.25">
      <c r="A124" t="s">
        <v>218</v>
      </c>
      <c r="B124" s="1">
        <v>2</v>
      </c>
      <c r="C124" t="s">
        <v>167</v>
      </c>
    </row>
    <row r="125" spans="1:4" ht="17.100000000000001" customHeight="1" x14ac:dyDescent="0.25">
      <c r="A125" t="s">
        <v>273</v>
      </c>
      <c r="B125" s="1">
        <v>2</v>
      </c>
      <c r="C125" t="s">
        <v>167</v>
      </c>
    </row>
    <row r="126" spans="1:4" ht="17.100000000000001" customHeight="1" x14ac:dyDescent="0.25">
      <c r="A126" t="s">
        <v>219</v>
      </c>
      <c r="B126" s="1">
        <v>3</v>
      </c>
      <c r="C126" t="s">
        <v>167</v>
      </c>
    </row>
    <row r="127" spans="1:4" ht="17.100000000000001" customHeight="1" x14ac:dyDescent="0.25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25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25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25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25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25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25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25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25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25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25">
      <c r="D137"/>
    </row>
    <row r="138" spans="1:4" ht="17.100000000000001" customHeight="1" x14ac:dyDescent="0.25">
      <c r="A138" s="27" t="s">
        <v>223</v>
      </c>
      <c r="D138"/>
    </row>
    <row r="139" spans="1:4" ht="17.100000000000001" customHeight="1" x14ac:dyDescent="0.25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25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25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25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25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25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25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25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25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25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25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25">
      <c r="D150"/>
    </row>
    <row r="151" spans="1:4" ht="17.100000000000001" customHeight="1" x14ac:dyDescent="0.25">
      <c r="A151" s="2"/>
    </row>
    <row r="152" spans="1:4" ht="17.100000000000001" customHeight="1" x14ac:dyDescent="0.25">
      <c r="A152" s="2"/>
    </row>
    <row r="153" spans="1:4" ht="17.100000000000001" customHeight="1" x14ac:dyDescent="0.25">
      <c r="A153" s="2"/>
      <c r="D153"/>
    </row>
    <row r="154" spans="1:4" ht="17.100000000000001" customHeight="1" x14ac:dyDescent="0.25">
      <c r="A154" s="2"/>
      <c r="D154"/>
    </row>
    <row r="155" spans="1:4" ht="17.100000000000001" customHeight="1" x14ac:dyDescent="0.25">
      <c r="A155" s="2"/>
      <c r="D155"/>
    </row>
    <row r="156" spans="1:4" ht="17.100000000000001" customHeight="1" x14ac:dyDescent="0.25">
      <c r="A156" s="2"/>
      <c r="D156"/>
    </row>
    <row r="157" spans="1:4" ht="17.100000000000001" customHeight="1" x14ac:dyDescent="0.25">
      <c r="A157" s="2"/>
      <c r="D157"/>
    </row>
    <row r="158" spans="1:4" ht="17.100000000000001" customHeight="1" x14ac:dyDescent="0.25">
      <c r="D158"/>
    </row>
    <row r="159" spans="1:4" ht="17.100000000000001" customHeight="1" x14ac:dyDescent="0.25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ColWidth="8.85546875" defaultRowHeight="15" x14ac:dyDescent="0.25"/>
  <sheetData>
    <row r="2" spans="2:10" x14ac:dyDescent="0.25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45" x14ac:dyDescent="0.25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25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25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25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25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25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25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25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25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25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25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25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25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25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25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25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25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25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25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25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25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25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25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25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25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25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25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25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25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25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45" x14ac:dyDescent="0.25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25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Props1.xml><?xml version="1.0" encoding="utf-8"?>
<ds:datastoreItem xmlns:ds="http://schemas.openxmlformats.org/officeDocument/2006/customXml" ds:itemID="{B9704853-24AD-475B-A0F9-E61262364461}"/>
</file>

<file path=customXml/itemProps2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0487735a-aa80-403c-99d1-eb2854a06b02"/>
    <ds:schemaRef ds:uri="http://schemas.microsoft.com/office/2006/documentManagement/types"/>
    <ds:schemaRef ds:uri="http://schemas.microsoft.com/office/infopath/2007/PartnerControls"/>
    <ds:schemaRef ds:uri="58e5a485-bfe3-4912-838b-0cecc4ddbf4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C.C. (Christiaan) de Graaf (GfC)</cp:lastModifiedBy>
  <cp:revision/>
  <cp:lastPrinted>2023-11-28T13:37:04Z</cp:lastPrinted>
  <dcterms:created xsi:type="dcterms:W3CDTF">2014-05-19T17:20:27Z</dcterms:created>
  <dcterms:modified xsi:type="dcterms:W3CDTF">2025-03-08T15:09:42Z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MediaServiceImageTags">
    <vt:lpwstr/>
  </property>
</Properties>
</file>