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org.sharepoint.com/sites/Commercieelvakverantwoordelijken-SharePointOOcommercie/Gedeelde documenten/SharePoint OO commercie/Kwaliteitszorg en analyses/SOP'jes/2025-2026/"/>
    </mc:Choice>
  </mc:AlternateContent>
  <xr:revisionPtr revIDLastSave="33" documentId="8_{E105801A-4991-4560-A770-54D17A6F2B6E}" xr6:coauthVersionLast="47" xr6:coauthVersionMax="47" xr10:uidLastSave="{8F0145D5-EC4C-441D-93DF-592F775A75AF}"/>
  <workbookProtection workbookAlgorithmName="SHA-512" workbookHashValue="uBfZOWM0okki+NUg0VL0o8Df2LgsNbl3MI6MSVa8oA1VHREkBf6/fVMd0c20Np2r0dGR33JIvToU1sL1MyC0Rw==" workbookSaltValue="ZBFe/bp+piZzQDEYraPn1Q==" workbookSpinCount="100000" lockStructure="1"/>
  <bookViews>
    <workbookView xWindow="22932" yWindow="-108" windowWidth="23256" windowHeight="13896" tabRatio="647" xr2:uid="{00000000-000D-0000-FFFF-FFFF00000000}"/>
  </bookViews>
  <sheets>
    <sheet name="Programmering" sheetId="1" r:id="rId1"/>
    <sheet name="OER" sheetId="7" r:id="rId2"/>
    <sheet name="Rekenhulp" sheetId="10" r:id="rId3"/>
    <sheet name="Toelichting" sheetId="6" state="hidden" r:id="rId4"/>
    <sheet name="Administratie" sheetId="5" state="hidden" r:id="rId5"/>
    <sheet name="Parameters" sheetId="2" state="hidden" r:id="rId6"/>
    <sheet name="Opleidingen" sheetId="8" state="hidden" r:id="rId7"/>
    <sheet name="Afwijkende normen - OUD" sheetId="11" state="hidden" r:id="rId8"/>
  </sheets>
  <definedNames>
    <definedName name="BBL">Parameters!$A$4:$A$27</definedName>
    <definedName name="BOL">Parameters!$A$9:$A$27</definedName>
    <definedName name="Bouwkunde">Opleidingen!$A$59:$A$76</definedName>
    <definedName name="cohorten">Parameters!$A$104:$A$107</definedName>
    <definedName name="Dienstverlening">Opleidingen!#REF!</definedName>
    <definedName name="Economie">Opleidingen!$A$18:$A$38</definedName>
    <definedName name="Electrotechniek">Opleidingen!$A$92:$A$110</definedName>
    <definedName name="Gezondheidszorg">Opleidingen!$A$41:$A$45</definedName>
    <definedName name="ICT">Opleidingen!$A$113:$A$119</definedName>
    <definedName name="Infra">Opleidingen!$A$79:$A$89</definedName>
    <definedName name="Mobiliteit">Opleidingen!$A$49:$A$56</definedName>
    <definedName name="Technologie">Opleidingen!$A$48:$A$136</definedName>
    <definedName name="VRIJ">Parameters!$A$4:$A$27</definedName>
    <definedName name="Welzijn">Opleidingen!$A$139:$A$149</definedName>
    <definedName name="Werktuigbouwkunde">Opleidingen!$A$122:$A$136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3" i="2" l="1"/>
  <c r="K53" i="2"/>
  <c r="K77" i="2"/>
  <c r="I77" i="2"/>
  <c r="H77" i="2"/>
  <c r="F77" i="2"/>
  <c r="C77" i="2"/>
  <c r="B77" i="2"/>
  <c r="I76" i="2"/>
  <c r="H76" i="2"/>
  <c r="F76" i="2"/>
  <c r="C76" i="2"/>
  <c r="B76" i="2"/>
  <c r="K76" i="2" s="1"/>
  <c r="I75" i="2"/>
  <c r="H75" i="2"/>
  <c r="F75" i="2"/>
  <c r="C75" i="2"/>
  <c r="B75" i="2"/>
  <c r="L74" i="2"/>
  <c r="K74" i="2"/>
  <c r="L54" i="2"/>
  <c r="K54" i="2"/>
  <c r="L72" i="2"/>
  <c r="K72" i="2"/>
  <c r="L71" i="2"/>
  <c r="K71" i="2"/>
  <c r="L51" i="2"/>
  <c r="K51" i="2"/>
  <c r="L41" i="2"/>
  <c r="K41" i="2"/>
  <c r="L68" i="2"/>
  <c r="K68" i="2"/>
  <c r="L67" i="2"/>
  <c r="K67" i="2"/>
  <c r="L66" i="2"/>
  <c r="K66" i="2"/>
  <c r="L30" i="2"/>
  <c r="K30" i="2"/>
  <c r="B13" i="2"/>
  <c r="C65" i="2"/>
  <c r="I65" i="2"/>
  <c r="H65" i="2"/>
  <c r="F65" i="2"/>
  <c r="B65" i="2"/>
  <c r="I64" i="2"/>
  <c r="H64" i="2"/>
  <c r="F64" i="2"/>
  <c r="C64" i="2"/>
  <c r="B64" i="2"/>
  <c r="K63" i="2"/>
  <c r="K78" i="2"/>
  <c r="K46" i="2"/>
  <c r="K45" i="2"/>
  <c r="L78" i="2"/>
  <c r="I70" i="2"/>
  <c r="H70" i="2"/>
  <c r="F70" i="2"/>
  <c r="C70" i="2"/>
  <c r="B70" i="2"/>
  <c r="I69" i="2"/>
  <c r="H69" i="2"/>
  <c r="F69" i="2"/>
  <c r="C69" i="2"/>
  <c r="B69" i="2"/>
  <c r="N13" i="1"/>
  <c r="K75" i="2" l="1"/>
  <c r="L77" i="2"/>
  <c r="L76" i="2"/>
  <c r="L75" i="2"/>
  <c r="K64" i="2"/>
  <c r="K70" i="2"/>
  <c r="K65" i="2"/>
  <c r="L65" i="2"/>
  <c r="K69" i="2"/>
  <c r="L64" i="2"/>
  <c r="L69" i="2"/>
  <c r="L70" i="2"/>
  <c r="K50" i="2"/>
  <c r="L60" i="2" l="1"/>
  <c r="K60" i="2"/>
  <c r="L59" i="2"/>
  <c r="K59" i="2"/>
  <c r="K38" i="2"/>
  <c r="N5" i="1"/>
  <c r="K56" i="2"/>
  <c r="L56" i="2"/>
  <c r="K57" i="2"/>
  <c r="L57" i="2"/>
  <c r="K58" i="2"/>
  <c r="L58" i="2"/>
  <c r="L55" i="2"/>
  <c r="K55" i="2"/>
  <c r="L28" i="2"/>
  <c r="K28" i="2"/>
  <c r="L61" i="2"/>
  <c r="K61" i="2"/>
  <c r="L38" i="2"/>
  <c r="L62" i="2"/>
  <c r="K62" i="2"/>
  <c r="J36" i="1"/>
  <c r="N9" i="1" l="1"/>
  <c r="L52" i="2"/>
  <c r="K52" i="2"/>
  <c r="K49" i="2" l="1"/>
  <c r="J30" i="1" l="1"/>
  <c r="L39" i="2" l="1"/>
  <c r="K39" i="2"/>
  <c r="K36" i="2"/>
  <c r="L36" i="2"/>
  <c r="L34" i="2" l="1"/>
  <c r="K34" i="2"/>
  <c r="L43" i="2" l="1"/>
  <c r="K43" i="2"/>
  <c r="L44" i="2" l="1"/>
  <c r="K44" i="2"/>
  <c r="F22" i="11" l="1"/>
  <c r="L46" i="2" l="1"/>
  <c r="L73" i="2"/>
  <c r="K73" i="2"/>
  <c r="L47" i="2"/>
  <c r="K47" i="2"/>
  <c r="F20" i="11"/>
  <c r="F19" i="11"/>
  <c r="F27" i="11"/>
  <c r="F24" i="11"/>
  <c r="F9" i="11" l="1"/>
  <c r="L48" i="2"/>
  <c r="K48" i="2"/>
  <c r="F8" i="11" l="1"/>
  <c r="F7" i="11" l="1"/>
  <c r="N7" i="1" l="1"/>
  <c r="O18" i="1" s="1"/>
  <c r="L42" i="2"/>
  <c r="L37" i="2"/>
  <c r="L33" i="2"/>
  <c r="L35" i="2"/>
  <c r="L49" i="2"/>
  <c r="L31" i="2"/>
  <c r="L32" i="2"/>
  <c r="L40" i="2"/>
  <c r="K42" i="2"/>
  <c r="K37" i="2"/>
  <c r="K33" i="2"/>
  <c r="K35" i="2"/>
  <c r="K31" i="2"/>
  <c r="K32" i="2"/>
  <c r="K40" i="2"/>
  <c r="F31" i="11"/>
  <c r="N18" i="1" l="1"/>
  <c r="O22" i="1"/>
  <c r="N22" i="1" s="1"/>
  <c r="O20" i="1"/>
  <c r="N20" i="1" s="1"/>
  <c r="O21" i="1"/>
  <c r="N21" i="1" s="1"/>
  <c r="O19" i="1"/>
  <c r="N19" i="1" s="1"/>
  <c r="F26" i="11"/>
  <c r="F23" i="11"/>
  <c r="F25" i="11"/>
  <c r="F28" i="11"/>
  <c r="F29" i="11"/>
  <c r="F30" i="11"/>
  <c r="F36" i="11"/>
  <c r="F18" i="11"/>
  <c r="F17" i="11"/>
  <c r="F16" i="11"/>
  <c r="F14" i="11"/>
  <c r="F12" i="11"/>
  <c r="F10" i="11"/>
  <c r="F6" i="11"/>
  <c r="F5" i="11"/>
  <c r="F4" i="11"/>
  <c r="N10" i="1" l="1"/>
  <c r="N27" i="1" l="1"/>
  <c r="O27" i="1"/>
  <c r="H11" i="2"/>
  <c r="E3" i="5" l="1"/>
  <c r="F4" i="7"/>
  <c r="N6" i="1"/>
  <c r="N11" i="1"/>
  <c r="N26" i="1"/>
  <c r="N12" i="1"/>
  <c r="G9" i="1" s="1"/>
  <c r="G30" i="1"/>
  <c r="C4" i="7"/>
  <c r="N4" i="1"/>
  <c r="W3" i="5"/>
  <c r="D5" i="10"/>
  <c r="E10" i="10"/>
  <c r="E9" i="10"/>
  <c r="L9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10" i="2"/>
  <c r="I5" i="2"/>
  <c r="I6" i="2"/>
  <c r="I7" i="2"/>
  <c r="I8" i="2"/>
  <c r="I4" i="2"/>
  <c r="F5" i="2"/>
  <c r="F6" i="2"/>
  <c r="F7" i="2"/>
  <c r="F8" i="2"/>
  <c r="F4" i="2"/>
  <c r="C4" i="2"/>
  <c r="C5" i="2"/>
  <c r="C6" i="2"/>
  <c r="C7" i="2"/>
  <c r="C8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F20" i="2"/>
  <c r="B16" i="2"/>
  <c r="E17" i="2"/>
  <c r="E18" i="2"/>
  <c r="E19" i="2"/>
  <c r="E20" i="2"/>
  <c r="E21" i="2"/>
  <c r="E22" i="2"/>
  <c r="E23" i="2"/>
  <c r="E24" i="2"/>
  <c r="E25" i="2"/>
  <c r="E26" i="2"/>
  <c r="E27" i="2"/>
  <c r="E14" i="2"/>
  <c r="E15" i="2"/>
  <c r="E16" i="2"/>
  <c r="E10" i="2"/>
  <c r="E11" i="2"/>
  <c r="E12" i="2"/>
  <c r="E13" i="2"/>
  <c r="H23" i="2"/>
  <c r="H24" i="2"/>
  <c r="H25" i="2"/>
  <c r="H26" i="2"/>
  <c r="H27" i="2"/>
  <c r="H22" i="2"/>
  <c r="H21" i="2"/>
  <c r="H20" i="2"/>
  <c r="H19" i="2"/>
  <c r="H18" i="2"/>
  <c r="H13" i="2"/>
  <c r="H14" i="2"/>
  <c r="H15" i="2"/>
  <c r="H16" i="2"/>
  <c r="H17" i="2"/>
  <c r="H12" i="2"/>
  <c r="F11" i="2"/>
  <c r="F12" i="2"/>
  <c r="F13" i="2"/>
  <c r="F14" i="2"/>
  <c r="F15" i="2"/>
  <c r="F16" i="2"/>
  <c r="F17" i="2"/>
  <c r="F18" i="2"/>
  <c r="F19" i="2"/>
  <c r="F21" i="2"/>
  <c r="F22" i="2"/>
  <c r="F23" i="2"/>
  <c r="F24" i="2"/>
  <c r="F25" i="2"/>
  <c r="F26" i="2"/>
  <c r="F27" i="2"/>
  <c r="F10" i="2"/>
  <c r="B11" i="2"/>
  <c r="B12" i="2"/>
  <c r="B14" i="2"/>
  <c r="B15" i="2"/>
  <c r="B17" i="2"/>
  <c r="B18" i="2"/>
  <c r="B19" i="2"/>
  <c r="B20" i="2"/>
  <c r="B21" i="2"/>
  <c r="B22" i="2"/>
  <c r="B23" i="2"/>
  <c r="B24" i="2"/>
  <c r="B25" i="2"/>
  <c r="B26" i="2"/>
  <c r="B27" i="2"/>
  <c r="B10" i="2"/>
  <c r="E27" i="7"/>
  <c r="E28" i="7"/>
  <c r="E29" i="7"/>
  <c r="E26" i="7"/>
  <c r="E21" i="7"/>
  <c r="E22" i="7"/>
  <c r="E23" i="7"/>
  <c r="E20" i="7"/>
  <c r="E15" i="7"/>
  <c r="E16" i="7"/>
  <c r="E17" i="7"/>
  <c r="E14" i="7"/>
  <c r="E9" i="7"/>
  <c r="E10" i="7"/>
  <c r="E11" i="7"/>
  <c r="E8" i="7"/>
  <c r="C5" i="7"/>
  <c r="F3" i="7"/>
  <c r="C2" i="7"/>
  <c r="C3" i="7"/>
  <c r="N8" i="1"/>
  <c r="K9" i="2"/>
  <c r="A3" i="5"/>
  <c r="C3" i="5"/>
  <c r="G3" i="5"/>
  <c r="H3" i="5"/>
  <c r="O3" i="5"/>
  <c r="Q3" i="5"/>
  <c r="S3" i="5"/>
  <c r="U3" i="5"/>
  <c r="Z3" i="5"/>
  <c r="AB3" i="5"/>
  <c r="AD3" i="5"/>
  <c r="AF3" i="5"/>
  <c r="AK3" i="5"/>
  <c r="AM3" i="5"/>
  <c r="AO3" i="5"/>
  <c r="AQ3" i="5"/>
  <c r="AV3" i="5"/>
  <c r="AX3" i="5"/>
  <c r="AZ3" i="5"/>
  <c r="BB3" i="5"/>
  <c r="B94" i="2"/>
  <c r="B93" i="2"/>
  <c r="D91" i="2"/>
  <c r="J48" i="1"/>
  <c r="I48" i="1"/>
  <c r="E47" i="1"/>
  <c r="E46" i="1"/>
  <c r="E45" i="1"/>
  <c r="E44" i="1"/>
  <c r="J42" i="1"/>
  <c r="E24" i="7" s="1"/>
  <c r="I42" i="1"/>
  <c r="E41" i="1"/>
  <c r="E40" i="1"/>
  <c r="E39" i="1"/>
  <c r="E38" i="1"/>
  <c r="AH3" i="5"/>
  <c r="I36" i="1"/>
  <c r="E35" i="1"/>
  <c r="E34" i="1"/>
  <c r="E33" i="1"/>
  <c r="E32" i="1"/>
  <c r="I30" i="1"/>
  <c r="E29" i="1"/>
  <c r="E28" i="1"/>
  <c r="E27" i="1"/>
  <c r="E26" i="1"/>
  <c r="I3" i="5" l="1"/>
  <c r="G36" i="1"/>
  <c r="B18" i="7" s="1"/>
  <c r="B44" i="1"/>
  <c r="B26" i="7" s="1"/>
  <c r="B38" i="1"/>
  <c r="B20" i="7" s="1"/>
  <c r="B32" i="1"/>
  <c r="B14" i="7" s="1"/>
  <c r="B26" i="1"/>
  <c r="B8" i="7" s="1"/>
  <c r="L16" i="2"/>
  <c r="G19" i="1"/>
  <c r="K3" i="5" s="1"/>
  <c r="L24" i="2"/>
  <c r="G18" i="1"/>
  <c r="J3" i="5" s="1"/>
  <c r="G20" i="1"/>
  <c r="L26" i="2"/>
  <c r="L8" i="2"/>
  <c r="K26" i="2"/>
  <c r="L4" i="2"/>
  <c r="L25" i="2"/>
  <c r="L27" i="2"/>
  <c r="L22" i="2"/>
  <c r="L10" i="2"/>
  <c r="K24" i="2"/>
  <c r="L21" i="2"/>
  <c r="L23" i="2"/>
  <c r="L20" i="2"/>
  <c r="L14" i="2"/>
  <c r="K25" i="2"/>
  <c r="K21" i="2"/>
  <c r="K17" i="2"/>
  <c r="K12" i="2"/>
  <c r="K22" i="2"/>
  <c r="K18" i="2"/>
  <c r="L5" i="2"/>
  <c r="L12" i="2"/>
  <c r="K14" i="2"/>
  <c r="K20" i="2"/>
  <c r="K27" i="2"/>
  <c r="K23" i="2"/>
  <c r="K19" i="2"/>
  <c r="L18" i="2"/>
  <c r="G27" i="1"/>
  <c r="H27" i="1" s="1"/>
  <c r="K27" i="1" s="1"/>
  <c r="F9" i="7" s="1"/>
  <c r="AS3" i="5"/>
  <c r="K13" i="2"/>
  <c r="L19" i="2"/>
  <c r="L15" i="2"/>
  <c r="L11" i="2"/>
  <c r="L6" i="2"/>
  <c r="L17" i="2"/>
  <c r="L13" i="2"/>
  <c r="K11" i="2"/>
  <c r="K15" i="2"/>
  <c r="K16" i="2"/>
  <c r="L7" i="2"/>
  <c r="E11" i="10"/>
  <c r="G26" i="1"/>
  <c r="H26" i="1" s="1"/>
  <c r="N28" i="1"/>
  <c r="O28" i="1" s="1"/>
  <c r="P28" i="1" s="1"/>
  <c r="N29" i="1"/>
  <c r="O29" i="1" s="1"/>
  <c r="G22" i="1"/>
  <c r="I22" i="1" s="1"/>
  <c r="G41" i="1"/>
  <c r="H41" i="1" s="1"/>
  <c r="K41" i="1" s="1"/>
  <c r="F23" i="7" s="1"/>
  <c r="BD3" i="5"/>
  <c r="E30" i="7"/>
  <c r="E12" i="7"/>
  <c r="G44" i="1"/>
  <c r="H44" i="1" s="1"/>
  <c r="AU3" i="5" s="1"/>
  <c r="G40" i="1"/>
  <c r="H40" i="1" s="1"/>
  <c r="D22" i="7" s="1"/>
  <c r="J51" i="1"/>
  <c r="E18" i="7"/>
  <c r="G34" i="1"/>
  <c r="H34" i="1" s="1"/>
  <c r="AC3" i="5" s="1"/>
  <c r="G39" i="1"/>
  <c r="H39" i="1" s="1"/>
  <c r="D21" i="7" s="1"/>
  <c r="G47" i="1"/>
  <c r="H47" i="1" s="1"/>
  <c r="K47" i="1" s="1"/>
  <c r="F29" i="7" s="1"/>
  <c r="M3" i="5"/>
  <c r="G48" i="1"/>
  <c r="B30" i="7" s="1"/>
  <c r="G38" i="1"/>
  <c r="H38" i="1" s="1"/>
  <c r="D20" i="7" s="1"/>
  <c r="G45" i="1"/>
  <c r="H45" i="1" s="1"/>
  <c r="G28" i="1"/>
  <c r="H28" i="1" s="1"/>
  <c r="R3" i="5" s="1"/>
  <c r="G29" i="1"/>
  <c r="H29" i="1" s="1"/>
  <c r="D11" i="7" s="1"/>
  <c r="G32" i="1"/>
  <c r="H32" i="1" s="1"/>
  <c r="Y3" i="5" s="1"/>
  <c r="G35" i="1"/>
  <c r="H35" i="1" s="1"/>
  <c r="AE3" i="5" s="1"/>
  <c r="N32" i="1"/>
  <c r="N33" i="1" s="1"/>
  <c r="O33" i="1" s="1"/>
  <c r="K10" i="2"/>
  <c r="G42" i="1"/>
  <c r="B24" i="7" s="1"/>
  <c r="G33" i="1"/>
  <c r="H33" i="1" s="1"/>
  <c r="G46" i="1"/>
  <c r="H46" i="1" s="1"/>
  <c r="F3" i="5"/>
  <c r="G8" i="1"/>
  <c r="G7" i="1"/>
  <c r="D3" i="5"/>
  <c r="B3" i="5" s="1"/>
  <c r="F5" i="7" l="1"/>
  <c r="G21" i="1"/>
  <c r="I21" i="1" s="1"/>
  <c r="M20" i="1"/>
  <c r="I20" i="1"/>
  <c r="K20" i="1" s="1"/>
  <c r="E32" i="7"/>
  <c r="N34" i="1"/>
  <c r="O34" i="1" s="1"/>
  <c r="P34" i="1" s="1"/>
  <c r="N35" i="1"/>
  <c r="O35" i="1" s="1"/>
  <c r="D26" i="7"/>
  <c r="K44" i="1"/>
  <c r="F26" i="7" s="1"/>
  <c r="D8" i="7"/>
  <c r="N3" i="5"/>
  <c r="K26" i="1"/>
  <c r="F8" i="7" s="1"/>
  <c r="K40" i="1"/>
  <c r="F22" i="7" s="1"/>
  <c r="AP3" i="5"/>
  <c r="I19" i="1"/>
  <c r="D23" i="7"/>
  <c r="L3" i="5"/>
  <c r="AN3" i="5"/>
  <c r="D16" i="7"/>
  <c r="K38" i="1"/>
  <c r="F20" i="7" s="1"/>
  <c r="AL3" i="5"/>
  <c r="AJ3" i="5"/>
  <c r="H42" i="1"/>
  <c r="K34" i="1"/>
  <c r="F16" i="7" s="1"/>
  <c r="D10" i="7"/>
  <c r="D9" i="7"/>
  <c r="P3" i="5"/>
  <c r="K28" i="1"/>
  <c r="F10" i="7" s="1"/>
  <c r="T3" i="5"/>
  <c r="H30" i="1"/>
  <c r="P27" i="1" s="1"/>
  <c r="K29" i="1"/>
  <c r="F11" i="7" s="1"/>
  <c r="BA3" i="5"/>
  <c r="H48" i="1"/>
  <c r="D29" i="7"/>
  <c r="K39" i="1"/>
  <c r="F21" i="7" s="1"/>
  <c r="N38" i="1"/>
  <c r="D27" i="7"/>
  <c r="AW3" i="5"/>
  <c r="K45" i="1"/>
  <c r="F27" i="7" s="1"/>
  <c r="D14" i="7"/>
  <c r="K32" i="1"/>
  <c r="F14" i="7" s="1"/>
  <c r="D17" i="7"/>
  <c r="K35" i="1"/>
  <c r="F17" i="7" s="1"/>
  <c r="AY3" i="5"/>
  <c r="K46" i="1"/>
  <c r="F28" i="7" s="1"/>
  <c r="D28" i="7"/>
  <c r="AA3" i="5"/>
  <c r="D15" i="7"/>
  <c r="K33" i="1"/>
  <c r="F15" i="7" s="1"/>
  <c r="H36" i="1"/>
  <c r="I18" i="1" l="1"/>
  <c r="N41" i="1"/>
  <c r="O41" i="1" s="1"/>
  <c r="N40" i="1"/>
  <c r="O40" i="1" s="1"/>
  <c r="P40" i="1" s="1"/>
  <c r="N39" i="1"/>
  <c r="O39" i="1" s="1"/>
  <c r="P39" i="1" s="1"/>
  <c r="AR3" i="5"/>
  <c r="D30" i="7"/>
  <c r="K42" i="1"/>
  <c r="F24" i="7" s="1"/>
  <c r="D24" i="7"/>
  <c r="BC3" i="5"/>
  <c r="N44" i="1"/>
  <c r="M22" i="1"/>
  <c r="K22" i="1"/>
  <c r="D12" i="7"/>
  <c r="V3" i="5"/>
  <c r="K30" i="1"/>
  <c r="D30" i="1" s="1"/>
  <c r="K48" i="1"/>
  <c r="F30" i="7" s="1"/>
  <c r="D18" i="7"/>
  <c r="P33" i="1"/>
  <c r="AG3" i="5"/>
  <c r="K36" i="1"/>
  <c r="I51" i="1"/>
  <c r="N47" i="1" l="1"/>
  <c r="O47" i="1" s="1"/>
  <c r="P47" i="1" s="1"/>
  <c r="N46" i="1"/>
  <c r="O46" i="1" s="1"/>
  <c r="P46" i="1" s="1"/>
  <c r="N45" i="1"/>
  <c r="O45" i="1" s="1"/>
  <c r="P45" i="1" s="1"/>
  <c r="BE3" i="5"/>
  <c r="AT3" i="5"/>
  <c r="N42" i="1"/>
  <c r="P41" i="1"/>
  <c r="D42" i="1"/>
  <c r="N30" i="1"/>
  <c r="P29" i="1"/>
  <c r="P30" i="1" s="1"/>
  <c r="X3" i="5"/>
  <c r="F12" i="7"/>
  <c r="D48" i="1"/>
  <c r="F18" i="7"/>
  <c r="AI3" i="5"/>
  <c r="P35" i="1"/>
  <c r="D36" i="1"/>
  <c r="K51" i="1"/>
  <c r="N36" i="1"/>
  <c r="D32" i="7"/>
  <c r="M19" i="1"/>
  <c r="K19" i="1"/>
  <c r="N48" i="1" l="1"/>
  <c r="N51" i="1" s="1"/>
  <c r="K14" i="1" s="1"/>
  <c r="K18" i="1"/>
  <c r="F32" i="7"/>
  <c r="M18" i="1"/>
  <c r="K15" i="1" s="1"/>
  <c r="K13" i="1" s="1"/>
</calcChain>
</file>

<file path=xl/sharedStrings.xml><?xml version="1.0" encoding="utf-8"?>
<sst xmlns="http://schemas.openxmlformats.org/spreadsheetml/2006/main" count="605" uniqueCount="324">
  <si>
    <t>Sectorale onderwijsprogrammering</t>
  </si>
  <si>
    <t>Sector:</t>
  </si>
  <si>
    <t>Sector</t>
  </si>
  <si>
    <t>Gezondheidszorg</t>
  </si>
  <si>
    <t>Bouwkunde</t>
  </si>
  <si>
    <t>Kernteam:</t>
  </si>
  <si>
    <t>25656 - Verzorgende IG (volwasseneducatie)</t>
  </si>
  <si>
    <t>Leerweg:</t>
  </si>
  <si>
    <t>Leerweg</t>
  </si>
  <si>
    <t>BBL</t>
  </si>
  <si>
    <t>Kolom opleiding:</t>
  </si>
  <si>
    <t>Cohort</t>
  </si>
  <si>
    <t>2023/2024</t>
  </si>
  <si>
    <t>Leerjaar:</t>
  </si>
  <si>
    <t>Lengte programmering</t>
  </si>
  <si>
    <t>2 jaar</t>
  </si>
  <si>
    <t>Niveau:</t>
  </si>
  <si>
    <t>(dd-mm-jjjj)</t>
  </si>
  <si>
    <t>Aantal maanden:</t>
  </si>
  <si>
    <t>Aantal jaren:</t>
  </si>
  <si>
    <t>Traject opleiding:</t>
  </si>
  <si>
    <t>Voldoet de opleiding aan de vereisten van OCW/Onderwijsinspectie?</t>
  </si>
  <si>
    <t>Crebo</t>
  </si>
  <si>
    <t>Voldoet elk leerjaar van de opleiding aan de vereisten van HC en OCW?</t>
  </si>
  <si>
    <t>Aan hoeveel vereisten van OCW/Onderwijsinspectie moet nog worden voldaan?</t>
  </si>
  <si>
    <t>Vereiste OCW</t>
  </si>
  <si>
    <t>NORM (incl marge)</t>
  </si>
  <si>
    <t>Voldaan?</t>
  </si>
  <si>
    <t>Voldaan OCW?</t>
  </si>
  <si>
    <t>Norm OCW</t>
  </si>
  <si>
    <t>Totale onderwijstijd</t>
  </si>
  <si>
    <t>Begeleide opleidingstijd (BOT)</t>
  </si>
  <si>
    <t>Beroepspraktijkvorming (BPV)</t>
  </si>
  <si>
    <t>Vrij in te vullen (BOT en/of BPV)</t>
  </si>
  <si>
    <t>nvt</t>
  </si>
  <si>
    <t>Begeleide opleidingstijd eerste leerjaar</t>
  </si>
  <si>
    <t>Begeleide onderwijstijd</t>
  </si>
  <si>
    <t>BPV</t>
  </si>
  <si>
    <t>Totaal</t>
  </si>
  <si>
    <t>Lesuren per week</t>
  </si>
  <si>
    <t>Klokuren les
per week</t>
  </si>
  <si>
    <t>Aantal weken</t>
  </si>
  <si>
    <t>Klokuren les periode</t>
  </si>
  <si>
    <t>Overige klokuren</t>
  </si>
  <si>
    <t>Normen incl marge</t>
  </si>
  <si>
    <t>Tekort OCW</t>
  </si>
  <si>
    <t>P. 1</t>
  </si>
  <si>
    <t>aantal maanden</t>
  </si>
  <si>
    <t>P. 2</t>
  </si>
  <si>
    <t>norm BOT</t>
  </si>
  <si>
    <t>P. 3</t>
  </si>
  <si>
    <t>norm BPV</t>
  </si>
  <si>
    <t>P. 4</t>
  </si>
  <si>
    <t>norm totaal</t>
  </si>
  <si>
    <t>tekorten</t>
  </si>
  <si>
    <t>BOT</t>
  </si>
  <si>
    <t xml:space="preserve">Totalen:  </t>
  </si>
  <si>
    <t>totaal tekort</t>
  </si>
  <si>
    <t>Naam opleiding:</t>
  </si>
  <si>
    <t>Crebo:</t>
  </si>
  <si>
    <t>Cohort:</t>
  </si>
  <si>
    <t>Begindatum:</t>
  </si>
  <si>
    <t>Einddatum:</t>
  </si>
  <si>
    <t>Periode</t>
  </si>
  <si>
    <t>Uren in school</t>
  </si>
  <si>
    <t xml:space="preserve">Totaal </t>
  </si>
  <si>
    <t xml:space="preserve">Totale onderwijstijd </t>
  </si>
  <si>
    <t>Rekenhulp 1:</t>
  </si>
  <si>
    <t>Aantal lessen</t>
  </si>
  <si>
    <t>Totaal klokuren</t>
  </si>
  <si>
    <t>Rekenhulp 2:</t>
  </si>
  <si>
    <t xml:space="preserve">Totaal  </t>
  </si>
  <si>
    <t>In de berekening naar klokuren is uitgegaan van 50 minuten lestijd</t>
  </si>
  <si>
    <t>Toelichting bij het invullen</t>
  </si>
  <si>
    <t>1.</t>
  </si>
  <si>
    <t>Voor alle opleidingen invullen in verband met het verplicht opnemen van het programma in de OER</t>
  </si>
  <si>
    <t>2.</t>
  </si>
  <si>
    <t xml:space="preserve">Kies de juiste lengte van de programmering: </t>
  </si>
  <si>
    <t xml:space="preserve"> - voor opleidingen vóór cohort 2017-2018 de lengte van het resterende programma van de opleiding kiezen</t>
  </si>
  <si>
    <t xml:space="preserve"> - voor opleidingen vanaf cohort 2017-2018 de lengte van het programma van de volledige opleiding kiezen</t>
  </si>
  <si>
    <t>3.</t>
  </si>
  <si>
    <t>Voor het bepalen van het aantal maanden in een cursusjaar gelden de volgende regels:</t>
  </si>
  <si>
    <t xml:space="preserve"> - een programma van een volledig cursusjaar is 10 maanden</t>
  </si>
  <si>
    <t xml:space="preserve"> - de maanden juli en augustus tellen niet mee voor het bepalen van het aantal maanden (wel voor onderwijstijd)</t>
  </si>
  <si>
    <t xml:space="preserve"> - een gedeelte van een maand telt voor een volledige maand</t>
  </si>
  <si>
    <t>4.</t>
  </si>
  <si>
    <t>Bij een volledig programma is de begindatum van een opleiding 1 augustus en de einddatum 31 juli</t>
  </si>
  <si>
    <t>5.</t>
  </si>
  <si>
    <t>Om de gegevens in de OER te zetten als volgt te werk gaan:</t>
  </si>
  <si>
    <t xml:space="preserve"> - Ga naar het tabblad OER</t>
  </si>
  <si>
    <t xml:space="preserve"> - Verwijder de rijen van de niet ingevulde leerjaren</t>
  </si>
  <si>
    <t xml:space="preserve"> - Selecteer de cellen met de ingevulde gegevens en kopieer deze</t>
  </si>
  <si>
    <t xml:space="preserve"> - Plak vervolgens de gekopieerde cellen in een Word-document</t>
  </si>
  <si>
    <t>6.</t>
  </si>
  <si>
    <t>Bij vragen kan contact opgenomen worden met Jan van 't Hof, e-mail: hoj@hoornbeeck.nl</t>
  </si>
  <si>
    <t>Algemene gegevens</t>
  </si>
  <si>
    <t>Leerjaar 1</t>
  </si>
  <si>
    <t>Leerjaar 2</t>
  </si>
  <si>
    <t>Leerjaar 3</t>
  </si>
  <si>
    <t>Leerjaar 4</t>
  </si>
  <si>
    <t>Opleiding</t>
  </si>
  <si>
    <t>Niveau</t>
  </si>
  <si>
    <t>Leerjaar</t>
  </si>
  <si>
    <t>Begindatum</t>
  </si>
  <si>
    <t>Einddatum</t>
  </si>
  <si>
    <t>Norm.owt</t>
  </si>
  <si>
    <t>Norm.BOT</t>
  </si>
  <si>
    <t>Norm.BPV</t>
  </si>
  <si>
    <t>Maanden</t>
  </si>
  <si>
    <t>P1.BOT</t>
  </si>
  <si>
    <t>P1.BPV</t>
  </si>
  <si>
    <t>P2.BOT</t>
  </si>
  <si>
    <t>P2.BPV</t>
  </si>
  <si>
    <t>P3.BOT</t>
  </si>
  <si>
    <t>P3.BPV</t>
  </si>
  <si>
    <t>P4.BOT</t>
  </si>
  <si>
    <t>P4.BPV</t>
  </si>
  <si>
    <t>Vrij</t>
  </si>
  <si>
    <t>1e jaar</t>
  </si>
  <si>
    <t>Duur</t>
  </si>
  <si>
    <t xml:space="preserve">3e leerjaar </t>
  </si>
  <si>
    <t>BOL</t>
  </si>
  <si>
    <t xml:space="preserve">BBL </t>
  </si>
  <si>
    <t>3e lw</t>
  </si>
  <si>
    <t>Jaren</t>
  </si>
  <si>
    <t>5 maanden</t>
  </si>
  <si>
    <t>6 maanden</t>
  </si>
  <si>
    <t>7 maanden</t>
  </si>
  <si>
    <t>8 maanden</t>
  </si>
  <si>
    <t>9 maanden</t>
  </si>
  <si>
    <t xml:space="preserve">1 jaar </t>
  </si>
  <si>
    <t>3 jaar</t>
  </si>
  <si>
    <t>4 jaar</t>
  </si>
  <si>
    <t>1 jaar + 5 maanden</t>
  </si>
  <si>
    <t>1 jaar + 6 maanden</t>
  </si>
  <si>
    <t>1 jaar + 7 maanden</t>
  </si>
  <si>
    <t>1 jaar + 8 maanden</t>
  </si>
  <si>
    <t>1 jaar + 9 maanden</t>
  </si>
  <si>
    <t>2 jaar + 5 maanden</t>
  </si>
  <si>
    <t>2 jaar + 6 maanden</t>
  </si>
  <si>
    <t>2 jaar + 7 maanden</t>
  </si>
  <si>
    <t>2 jaar + 8 maanden</t>
  </si>
  <si>
    <t>2 jaar + 9 maanden</t>
  </si>
  <si>
    <t>3 jaar + 5 maanden</t>
  </si>
  <si>
    <t>3 jaar + 6 maanden</t>
  </si>
  <si>
    <t>3 jaar + 7 maanden</t>
  </si>
  <si>
    <t>3 jaar + 8 maanden</t>
  </si>
  <si>
    <t>3 jaar + 9 maanden</t>
  </si>
  <si>
    <t>Soort opleiding</t>
  </si>
  <si>
    <t>Kolom</t>
  </si>
  <si>
    <t>Periodisering</t>
  </si>
  <si>
    <t>Periode 1</t>
  </si>
  <si>
    <t>Periode 2</t>
  </si>
  <si>
    <t>Periode 3</t>
  </si>
  <si>
    <t>Periode 4</t>
  </si>
  <si>
    <t>Overige parameters</t>
  </si>
  <si>
    <t xml:space="preserve">Minimum </t>
  </si>
  <si>
    <t>Maximum</t>
  </si>
  <si>
    <t>Klokuren</t>
  </si>
  <si>
    <t>Ingebouwde zekerheidsmarge</t>
  </si>
  <si>
    <t>Aantal minuten per lesuur</t>
  </si>
  <si>
    <t>Uren per jaar BBL (incl marge)</t>
  </si>
  <si>
    <t>Uren per jaar BOL (incl marge)</t>
  </si>
  <si>
    <t>Sectoren</t>
  </si>
  <si>
    <t>Lijst opleidingen</t>
  </si>
  <si>
    <t>Dienstverlening</t>
  </si>
  <si>
    <t>Economie</t>
  </si>
  <si>
    <t>Technologie &amp; ICT</t>
  </si>
  <si>
    <t>Technologie</t>
  </si>
  <si>
    <t>Welzijn</t>
  </si>
  <si>
    <t>Cohorten</t>
  </si>
  <si>
    <t>2022/2023</t>
  </si>
  <si>
    <t>Kernteams Techniek &amp; ICT</t>
  </si>
  <si>
    <t>Mobiliteit</t>
  </si>
  <si>
    <t>Electrotechniek</t>
  </si>
  <si>
    <t>ICT</t>
  </si>
  <si>
    <t>Werktuigbouwkunde</t>
  </si>
  <si>
    <t>Opleidingen Dienstverlening</t>
  </si>
  <si>
    <t>25690 - Beveiliger 2</t>
  </si>
  <si>
    <t>25691 - Beveiliger 3</t>
  </si>
  <si>
    <t>Opleidingen Economie</t>
  </si>
  <si>
    <t>23296 - Business Services</t>
  </si>
  <si>
    <t>23354 - Commercie</t>
  </si>
  <si>
    <t>25723 - Business Support (Allround Assistant Business Services)</t>
  </si>
  <si>
    <t>25725 - Finance &amp; Control (Business Administration &amp; Control Specialist)</t>
  </si>
  <si>
    <t>25726 - Juridisch &amp; HRM (Legal, Insurance &amp; HR Services Specialist)</t>
  </si>
  <si>
    <t>25727 - Marketing &amp; Communicatie (Marketing &amp; Communication Specialist)</t>
  </si>
  <si>
    <t>25728 - Officemanagement (Office &amp; Management Support Specialist)</t>
  </si>
  <si>
    <t>25774 - Logistiek medewerker</t>
  </si>
  <si>
    <t>25775 - Logistiek teamleider</t>
  </si>
  <si>
    <t>25776 - Logistiek supervisor (doorstroom + sprint)</t>
  </si>
  <si>
    <t>25807 - Retailmanager (doorstroom + sprint)</t>
  </si>
  <si>
    <t>25808 - Retailmedewerker</t>
  </si>
  <si>
    <t>25809 - Retailspecialist</t>
  </si>
  <si>
    <t>Opleidingen Gezondheidzorg</t>
  </si>
  <si>
    <t>25655 - Mbo-Verpleegkundige</t>
  </si>
  <si>
    <t>25655 - Mbo-Verpleegkundige (volwasseneducatie)</t>
  </si>
  <si>
    <t>25656 - Verzorgende IG</t>
  </si>
  <si>
    <t>Opleidingen Technologie</t>
  </si>
  <si>
    <t>25669 - Allround technicus voertuigen en mobiele werktuigen</t>
  </si>
  <si>
    <t>25671 - Chauffeur wegvervoer</t>
  </si>
  <si>
    <t>25017 - Allround meubelmaker/(scheeps)interieurbouwer</t>
  </si>
  <si>
    <t>25583 - Montagemedewerker houttechniek</t>
  </si>
  <si>
    <t>25585 - Allround montagemedewerker houttechniek</t>
  </si>
  <si>
    <t>25589 - Schilder</t>
  </si>
  <si>
    <t>25750 - Allround vakman gww</t>
  </si>
  <si>
    <t>25756 - Vakman gww</t>
  </si>
  <si>
    <t>25786 - Metselaar</t>
  </si>
  <si>
    <t>25829 - Timmerman</t>
  </si>
  <si>
    <t>25870 - Middenkaderfunctionaris bouw</t>
  </si>
  <si>
    <t>Elektrotechniek</t>
  </si>
  <si>
    <t>25735 - Eerste monteur elektrotechnische industriële installaties en systemen</t>
  </si>
  <si>
    <t>25736 - Eerste monteur elektrotechnische installaties in de gebouwde omgeving</t>
  </si>
  <si>
    <t>25737 - Monteur elektrotechnische installaties</t>
  </si>
  <si>
    <t>ICT-opleidingen</t>
  </si>
  <si>
    <t>25605 - Allround medewerker IT systems and devices</t>
  </si>
  <si>
    <t>25606 - Expert IT systems and devices</t>
  </si>
  <si>
    <t>25315 - Tekenaar werktuigbouw</t>
  </si>
  <si>
    <t>25891 - Monteur mechatronica</t>
  </si>
  <si>
    <t>25892 - Eerste monteur mechatronica</t>
  </si>
  <si>
    <t>25893 - Technicus mechatronica</t>
  </si>
  <si>
    <t>25894 - Medewerker productietechniek</t>
  </si>
  <si>
    <t>25895 - Allround medewerker productietechniek</t>
  </si>
  <si>
    <t>Opleidingen Welzijn</t>
  </si>
  <si>
    <t>23285 - Pedagogisch Werk</t>
  </si>
  <si>
    <t>23312 - Maatschappelijke Zorg</t>
  </si>
  <si>
    <t>25615 - Sociaal werker</t>
  </si>
  <si>
    <t>25615 - Sociaal werker (kopjaar Beveiliging)</t>
  </si>
  <si>
    <t>25696 - Pedagogisch medewerker kinderopvang</t>
  </si>
  <si>
    <t>25697 - Gespecialiseerd pedagogisch medewerker</t>
  </si>
  <si>
    <t>25698 - Onderwijsassistent</t>
  </si>
  <si>
    <t>25779 - Persoonlijk begeleider maatschappelijke zorg</t>
  </si>
  <si>
    <t>25780 - Begeleider maatschappelijke zorg</t>
  </si>
  <si>
    <t>Aantal maanden</t>
  </si>
  <si>
    <t>-</t>
  </si>
  <si>
    <t>2024/2025</t>
  </si>
  <si>
    <t>25740 - Assistent bouwen, wonen en onderhoud</t>
  </si>
  <si>
    <t>25741 - Assistent dienstverlening</t>
  </si>
  <si>
    <t>25742 - Assistent horeca, voeding of voedingsindustrie</t>
  </si>
  <si>
    <t>25743 - Assistent logistiek</t>
  </si>
  <si>
    <t>25744 - Assistent metaal- elektro- en installatietechniek</t>
  </si>
  <si>
    <t>25746 - Assistent plant, dier of groene omgeving</t>
  </si>
  <si>
    <t>25747 - Assistent procestechniek</t>
  </si>
  <si>
    <t>25748 - Assistent verkoop/retail</t>
  </si>
  <si>
    <t>25960 - Helpende Zorg en Welzijn</t>
  </si>
  <si>
    <t>25959 - Medewerker facilitaire dienstverlening</t>
  </si>
  <si>
    <t>25981 - Medewerker teelt</t>
  </si>
  <si>
    <t>25984 - Vakbekwaam medewerker teelt</t>
  </si>
  <si>
    <t>25757 - Waterbouwer</t>
  </si>
  <si>
    <t>25754 - Opperman bestratingen</t>
  </si>
  <si>
    <t>25924 - Meubelmaker/(scheeps)interieurbouwer</t>
  </si>
  <si>
    <t>25756 - Vakman gww (afstroom bedrijfsschool)</t>
  </si>
  <si>
    <t>25955 - Keukenmonteur</t>
  </si>
  <si>
    <t>25926 - Allround meubelmaker/(scheeps)interieurbouwer</t>
  </si>
  <si>
    <t>25871 - Middenkaderfunctionaris grond-, weg- en waterbouw</t>
  </si>
  <si>
    <t>25119 - Uitvoerder infra (bedrijfsschool) (Uitvoerder bouw/infra)</t>
  </si>
  <si>
    <t>25350 - Monteur werktuigkundige installaties (BTO)</t>
  </si>
  <si>
    <t>25735 - Eerste monteur elektrotechnische industriële installaties en systemen (BTO)</t>
  </si>
  <si>
    <t>25736 - Eerste monteur elektrotechnische installaties in de gebouwde omgeving (BTO)</t>
  </si>
  <si>
    <t>25738 - Technicus elektrotechnische industriële systemen en installaties (BTO)</t>
  </si>
  <si>
    <t>25739 - Technicus elektrotechnische installaties in de gebouwde omgeving</t>
  </si>
  <si>
    <t>25739 - Technicus elektrotechnische installaties in de gebouwde omgeving (BTO)</t>
  </si>
  <si>
    <t>25821 - Eerste monteur service en onderhoud werktuigkundige installaties (BTO)</t>
  </si>
  <si>
    <t>25834 - Eerste monteur utiliteit (BTO)</t>
  </si>
  <si>
    <t>25835 - Eerste monteur woning (BTO)</t>
  </si>
  <si>
    <t>25919 - Technicus engineering elektrotechniek</t>
  </si>
  <si>
    <t>25998 - Software developer</t>
  </si>
  <si>
    <t>25919 - Technicus engineering werktuigbouwkunde</t>
  </si>
  <si>
    <t>25896 - Productietechnicus</t>
  </si>
  <si>
    <t>25895 - Allround medewerker productietechniek (BTO)</t>
  </si>
  <si>
    <t>25892 - Eerste monteur mechatronica (BTO)</t>
  </si>
  <si>
    <t>25893 - Technicus mechatronica (BTO)</t>
  </si>
  <si>
    <t>25297 - Technicus engineering werktuigbouwkunde</t>
  </si>
  <si>
    <t>25891 - Monteur mechatronica (BTO)</t>
  </si>
  <si>
    <t>25668 - Basis technicus voertuigen en mobiele werktuigen (bedrijfsopleiding Broekhuis)</t>
  </si>
  <si>
    <t>25670 - Technisch specialist voertuigen en mobiele werktuigen (doorstroom 2023)</t>
  </si>
  <si>
    <t>25958 - Sociaal werker</t>
  </si>
  <si>
    <t>23296BA1</t>
  </si>
  <si>
    <t>Crebo handmatig invullen voor de juiste normen!</t>
  </si>
  <si>
    <t>Crebo + naam opleiding:</t>
  </si>
  <si>
    <t>Lengte programmering:</t>
  </si>
  <si>
    <t>Begindatum opleiding:</t>
  </si>
  <si>
    <t>Einddatum opleiding:</t>
  </si>
  <si>
    <t xml:space="preserve">Norm </t>
  </si>
  <si>
    <t>Afw. Norm</t>
  </si>
  <si>
    <t>Gezondheidzorg</t>
  </si>
  <si>
    <t>25874 - Commercieel medewerker</t>
  </si>
  <si>
    <t>25877 - Junior accountmanager</t>
  </si>
  <si>
    <t>25880 - Ondernemer handel (doorstroom + sprint)</t>
  </si>
  <si>
    <t>25876 - E-commerce specialist</t>
  </si>
  <si>
    <t>2025/2026</t>
  </si>
  <si>
    <t>23301 - Entree</t>
  </si>
  <si>
    <t xml:space="preserve">25745 - Assistent mobiliteitsbranche </t>
  </si>
  <si>
    <t>25695 - Doktersassistent</t>
  </si>
  <si>
    <t>3/4</t>
  </si>
  <si>
    <t>25536 - Vakbekwaam medewerker teelt</t>
  </si>
  <si>
    <t>25866 - Monteur metalen daken en gevels</t>
  </si>
  <si>
    <t>25588 - Gezel schilder</t>
  </si>
  <si>
    <t xml:space="preserve">25785 - 
Allround metselaar
</t>
  </si>
  <si>
    <t>25828 - Allround timmerman</t>
  </si>
  <si>
    <t>25956 - Allround keukenmonteur</t>
  </si>
  <si>
    <t>25956 - Allround keukenmonteur (doorstroom van niveau 2)</t>
  </si>
  <si>
    <t>25104 - Middenkaderfunctionaris bouw</t>
  </si>
  <si>
    <t>25756 - Vakman gww (bedrijfsschool)</t>
  </si>
  <si>
    <t>25750 - Allround vakman gww (bedrijfsschool)</t>
  </si>
  <si>
    <t xml:space="preserve">25755 - Straatmaker                                     </t>
  </si>
  <si>
    <t xml:space="preserve">25751 - Allround waterbouwer                  </t>
  </si>
  <si>
    <t>Infra</t>
  </si>
  <si>
    <t>25744 - Assistent metaal-, elektro- en installatietechniek (BTO)</t>
  </si>
  <si>
    <t>25737 - Monteur elektrotechnische installaties (BTO)</t>
  </si>
  <si>
    <t>25866 - Monteur metalen daken en gevels (Zinkwerker BTO)</t>
  </si>
  <si>
    <t>25869 - Allround monteur koper- en zinkwerken (Allround dakdekker metaal) (BTO)</t>
  </si>
  <si>
    <t>25738 - Technicus elektrotechnische industriële systemen en installaties</t>
  </si>
  <si>
    <t>25297 - Technicus engineering elektrotechniek</t>
  </si>
  <si>
    <t>25999 - Medewerker ICT</t>
  </si>
  <si>
    <t>25604 - Software developer</t>
  </si>
  <si>
    <t>27016 - ICT System Engineer</t>
  </si>
  <si>
    <t>27015 - ICT Support Technician</t>
  </si>
  <si>
    <t>25668 - Basis technicus voertuigen en mobiele werktuigen</t>
  </si>
  <si>
    <t>27042 - Chauffeur wegvervoer</t>
  </si>
  <si>
    <t>25670 - Technisch specialist voertuigen en mobiele werktuigen (doorstroom 2024)</t>
  </si>
  <si>
    <t>25669 - Allround technicus voertuigen en mobiele werktuigen (bedrijfsopleiding Broekhuis)</t>
  </si>
  <si>
    <t>25894 - Medewerker productietechniek (BTO)</t>
  </si>
  <si>
    <t>27048 - Leidinggevende van technici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</si>
</sst>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 * #,##0_ ;_ * \-#,##0_ ;_ * &quot;-&quot;??_ ;_ @_ "/>
    <numFmt numFmtId="165" formatCode="#,##0.0_ ;\-#,##0.0\ "/>
    <numFmt numFmtId="166" formatCode="#,##0.00_ ;\-#,##0.00\ "/>
    <numFmt numFmtId="167" formatCode="0.0%"/>
    <numFmt numFmtId="168" formatCode="#,##0_ ;\-#,##0\ "/>
    <numFmt numFmtId="169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CDDE7"/>
      <name val="Calibri"/>
      <family val="2"/>
      <scheme val="minor"/>
    </font>
    <font>
      <sz val="1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rgb="FFCCDDEA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DDE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CC8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0"/>
        </stop>
        <stop position="1">
          <color rgb="FFFFFF99"/>
        </stop>
      </gradient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11" borderId="0">
      <alignment horizontal="left" vertical="center" wrapText="1"/>
    </xf>
  </cellStyleXfs>
  <cellXfs count="17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3" borderId="0" xfId="0" applyFont="1" applyFill="1"/>
    <xf numFmtId="0" fontId="3" fillId="3" borderId="0" xfId="0" applyFont="1" applyFill="1" applyAlignment="1">
      <alignment horizontal="center"/>
    </xf>
    <xf numFmtId="0" fontId="0" fillId="3" borderId="0" xfId="0" applyFill="1"/>
    <xf numFmtId="164" fontId="0" fillId="0" borderId="0" xfId="1" applyNumberFormat="1" applyFont="1" applyFill="1" applyAlignment="1">
      <alignment horizontal="center"/>
    </xf>
    <xf numFmtId="166" fontId="0" fillId="0" borderId="0" xfId="1" applyNumberFormat="1" applyFont="1" applyFill="1" applyAlignment="1">
      <alignment horizontal="center"/>
    </xf>
    <xf numFmtId="0" fontId="3" fillId="3" borderId="0" xfId="0" applyFont="1" applyFill="1"/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169" fontId="0" fillId="0" borderId="0" xfId="0" applyNumberFormat="1" applyAlignment="1">
      <alignment horizontal="center"/>
    </xf>
    <xf numFmtId="0" fontId="2" fillId="0" borderId="0" xfId="0" applyFont="1"/>
    <xf numFmtId="0" fontId="0" fillId="6" borderId="0" xfId="0" applyFill="1" applyAlignment="1">
      <alignment horizontal="center"/>
    </xf>
    <xf numFmtId="168" fontId="0" fillId="6" borderId="0" xfId="0" applyNumberFormat="1" applyFill="1" applyAlignment="1">
      <alignment horizontal="center"/>
    </xf>
    <xf numFmtId="168" fontId="0" fillId="5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0" fontId="4" fillId="3" borderId="0" xfId="0" applyFont="1" applyFill="1" applyAlignment="1">
      <alignment horizontal="center"/>
    </xf>
    <xf numFmtId="14" fontId="0" fillId="0" borderId="0" xfId="0" applyNumberFormat="1"/>
    <xf numFmtId="168" fontId="0" fillId="6" borderId="0" xfId="1" applyNumberFormat="1" applyFont="1" applyFill="1" applyAlignment="1">
      <alignment horizontal="center"/>
    </xf>
    <xf numFmtId="0" fontId="0" fillId="7" borderId="0" xfId="0" applyFill="1"/>
    <xf numFmtId="0" fontId="0" fillId="5" borderId="0" xfId="0" applyFill="1"/>
    <xf numFmtId="1" fontId="0" fillId="0" borderId="0" xfId="0" applyNumberFormat="1"/>
    <xf numFmtId="0" fontId="6" fillId="3" borderId="0" xfId="0" applyFont="1" applyFill="1"/>
    <xf numFmtId="0" fontId="3" fillId="3" borderId="0" xfId="0" applyFont="1" applyFill="1" applyAlignment="1">
      <alignment horizontal="left"/>
    </xf>
    <xf numFmtId="0" fontId="0" fillId="0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1" fontId="0" fillId="0" borderId="5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/>
    <xf numFmtId="0" fontId="0" fillId="0" borderId="14" xfId="0" applyBorder="1"/>
    <xf numFmtId="1" fontId="2" fillId="0" borderId="10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2" fillId="0" borderId="15" xfId="0" applyFont="1" applyBorder="1" applyAlignment="1">
      <alignment horizontal="center"/>
    </xf>
    <xf numFmtId="14" fontId="0" fillId="0" borderId="0" xfId="0" applyNumberFormat="1" applyAlignment="1">
      <alignment horizontal="left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10" xfId="0" applyBorder="1"/>
    <xf numFmtId="1" fontId="0" fillId="0" borderId="2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4" fontId="0" fillId="0" borderId="14" xfId="0" applyNumberFormat="1" applyBorder="1" applyAlignment="1">
      <alignment horizontal="left"/>
    </xf>
    <xf numFmtId="0" fontId="2" fillId="0" borderId="4" xfId="0" applyFont="1" applyBorder="1"/>
    <xf numFmtId="0" fontId="2" fillId="0" borderId="9" xfId="0" applyFont="1" applyBorder="1" applyAlignment="1">
      <alignment horizontal="left" vertical="top"/>
    </xf>
    <xf numFmtId="0" fontId="2" fillId="9" borderId="15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1" fontId="2" fillId="9" borderId="12" xfId="0" applyNumberFormat="1" applyFont="1" applyFill="1" applyBorder="1" applyAlignment="1">
      <alignment horizontal="center"/>
    </xf>
    <xf numFmtId="1" fontId="2" fillId="9" borderId="8" xfId="0" applyNumberFormat="1" applyFont="1" applyFill="1" applyBorder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wrapText="1"/>
    </xf>
    <xf numFmtId="1" fontId="0" fillId="4" borderId="5" xfId="0" applyNumberFormat="1" applyFill="1" applyBorder="1" applyAlignment="1">
      <alignment horizontal="center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4" borderId="0" xfId="0" applyNumberFormat="1" applyFill="1" applyAlignment="1">
      <alignment horizontal="center"/>
    </xf>
    <xf numFmtId="0" fontId="2" fillId="4" borderId="0" xfId="0" applyFont="1" applyFill="1" applyAlignment="1">
      <alignment vertical="center"/>
    </xf>
    <xf numFmtId="1" fontId="2" fillId="4" borderId="0" xfId="0" applyNumberFormat="1" applyFont="1" applyFill="1" applyAlignment="1">
      <alignment horizontal="left" vertical="center"/>
    </xf>
    <xf numFmtId="168" fontId="0" fillId="3" borderId="0" xfId="0" applyNumberFormat="1" applyFill="1" applyAlignment="1">
      <alignment horizontal="center"/>
    </xf>
    <xf numFmtId="168" fontId="0" fillId="3" borderId="0" xfId="1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1" fontId="2" fillId="4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9" fillId="4" borderId="0" xfId="0" applyFont="1" applyFill="1"/>
    <xf numFmtId="0" fontId="10" fillId="4" borderId="0" xfId="0" applyFont="1" applyFill="1"/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12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6" fillId="4" borderId="6" xfId="0" applyFont="1" applyFill="1" applyBorder="1"/>
    <xf numFmtId="0" fontId="16" fillId="4" borderId="7" xfId="0" applyFont="1" applyFill="1" applyBorder="1"/>
    <xf numFmtId="0" fontId="16" fillId="4" borderId="5" xfId="0" applyFont="1" applyFill="1" applyBorder="1"/>
    <xf numFmtId="0" fontId="9" fillId="0" borderId="0" xfId="0" applyFont="1" applyAlignment="1">
      <alignment horizontal="center"/>
    </xf>
    <xf numFmtId="0" fontId="9" fillId="4" borderId="0" xfId="0" applyFont="1" applyFill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0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14" fillId="4" borderId="0" xfId="0" applyFont="1" applyFill="1"/>
    <xf numFmtId="0" fontId="15" fillId="0" borderId="0" xfId="0" applyFont="1"/>
    <xf numFmtId="0" fontId="11" fillId="0" borderId="0" xfId="0" applyFont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3" fillId="3" borderId="0" xfId="0" applyFont="1" applyFill="1" applyAlignment="1">
      <alignment horizontal="center" wrapText="1"/>
    </xf>
    <xf numFmtId="0" fontId="3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0" fontId="0" fillId="2" borderId="5" xfId="0" applyFill="1" applyBorder="1" applyAlignment="1" applyProtection="1">
      <alignment horizontal="left"/>
      <protection locked="0"/>
    </xf>
    <xf numFmtId="0" fontId="0" fillId="10" borderId="0" xfId="0" applyFill="1" applyAlignment="1">
      <alignment horizontal="left"/>
    </xf>
    <xf numFmtId="14" fontId="0" fillId="2" borderId="5" xfId="0" applyNumberFormat="1" applyFill="1" applyBorder="1" applyAlignment="1" applyProtection="1">
      <alignment horizontal="left"/>
      <protection locked="0"/>
    </xf>
    <xf numFmtId="0" fontId="0" fillId="0" borderId="0" xfId="0" applyAlignment="1">
      <alignment horizontal="center" vertical="center"/>
    </xf>
    <xf numFmtId="0" fontId="1" fillId="4" borderId="0" xfId="0" applyFont="1" applyFill="1"/>
    <xf numFmtId="0" fontId="1" fillId="0" borderId="0" xfId="0" applyFont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/>
    <xf numFmtId="0" fontId="2" fillId="4" borderId="5" xfId="0" applyFont="1" applyFill="1" applyBorder="1" applyAlignment="1">
      <alignment horizontal="center"/>
    </xf>
    <xf numFmtId="0" fontId="1" fillId="4" borderId="7" xfId="0" applyFont="1" applyFill="1" applyBorder="1"/>
    <xf numFmtId="0" fontId="2" fillId="4" borderId="10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8" borderId="5" xfId="0" applyFont="1" applyFill="1" applyBorder="1" applyAlignment="1">
      <alignment horizontal="center" wrapText="1"/>
    </xf>
    <xf numFmtId="0" fontId="1" fillId="8" borderId="5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1" fillId="2" borderId="5" xfId="1" applyNumberFormat="1" applyFont="1" applyFill="1" applyBorder="1" applyAlignment="1" applyProtection="1">
      <alignment horizontal="center" vertical="center"/>
      <protection locked="0"/>
    </xf>
    <xf numFmtId="165" fontId="1" fillId="4" borderId="5" xfId="1" applyNumberFormat="1" applyFont="1" applyFill="1" applyBorder="1" applyAlignment="1" applyProtection="1">
      <alignment horizontal="center"/>
    </xf>
    <xf numFmtId="164" fontId="1" fillId="4" borderId="5" xfId="1" applyNumberFormat="1" applyFont="1" applyFill="1" applyBorder="1" applyProtection="1"/>
    <xf numFmtId="164" fontId="1" fillId="2" borderId="5" xfId="1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/>
    <xf numFmtId="0" fontId="3" fillId="4" borderId="0" xfId="0" applyFont="1" applyFill="1"/>
    <xf numFmtId="0" fontId="2" fillId="4" borderId="0" xfId="0" applyFont="1" applyFill="1" applyAlignment="1">
      <alignment horizontal="right"/>
    </xf>
    <xf numFmtId="164" fontId="2" fillId="8" borderId="5" xfId="1" applyNumberFormat="1" applyFont="1" applyFill="1" applyBorder="1" applyProtection="1"/>
    <xf numFmtId="164" fontId="2" fillId="4" borderId="5" xfId="1" applyNumberFormat="1" applyFont="1" applyFill="1" applyBorder="1" applyProtection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1" fontId="2" fillId="4" borderId="5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14" fillId="4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2" fillId="4" borderId="0" xfId="0" applyFont="1" applyFill="1" applyAlignment="1">
      <alignment horizontal="center" vertical="center"/>
    </xf>
    <xf numFmtId="164" fontId="3" fillId="4" borderId="1" xfId="1" applyNumberFormat="1" applyFont="1" applyFill="1" applyBorder="1" applyAlignment="1" applyProtection="1">
      <alignment horizontal="center"/>
    </xf>
    <xf numFmtId="164" fontId="3" fillId="4" borderId="3" xfId="1" applyNumberFormat="1" applyFont="1" applyFill="1" applyBorder="1" applyAlignment="1" applyProtection="1">
      <alignment horizontal="center"/>
    </xf>
    <xf numFmtId="0" fontId="3" fillId="8" borderId="5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164" fontId="1" fillId="4" borderId="1" xfId="1" applyNumberFormat="1" applyFont="1" applyFill="1" applyBorder="1" applyAlignment="1" applyProtection="1">
      <alignment horizontal="center"/>
    </xf>
    <xf numFmtId="164" fontId="1" fillId="4" borderId="3" xfId="1" applyNumberFormat="1" applyFont="1" applyFill="1" applyBorder="1" applyAlignment="1" applyProtection="1">
      <alignment horizontal="center"/>
    </xf>
    <xf numFmtId="0" fontId="3" fillId="8" borderId="1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0" fontId="3" fillId="8" borderId="3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9" fontId="1" fillId="4" borderId="9" xfId="2" applyFont="1" applyFill="1" applyBorder="1" applyAlignment="1" applyProtection="1">
      <alignment horizontal="right"/>
    </xf>
    <xf numFmtId="9" fontId="1" fillId="4" borderId="10" xfId="2" applyFont="1" applyFill="1" applyBorder="1" applyAlignment="1" applyProtection="1">
      <alignment horizontal="right"/>
    </xf>
    <xf numFmtId="0" fontId="13" fillId="4" borderId="0" xfId="0" applyFont="1" applyFill="1" applyAlignment="1" applyProtection="1">
      <alignment horizontal="left"/>
      <protection locked="0"/>
    </xf>
    <xf numFmtId="1" fontId="2" fillId="0" borderId="9" xfId="0" applyNumberFormat="1" applyFont="1" applyBorder="1" applyAlignment="1">
      <alignment horizontal="right"/>
    </xf>
    <xf numFmtId="1" fontId="2" fillId="0" borderId="10" xfId="0" applyNumberFormat="1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1" fontId="2" fillId="0" borderId="11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1" fontId="0" fillId="4" borderId="0" xfId="0" applyNumberFormat="1" applyFill="1" applyAlignment="1">
      <alignment horizontal="left" wrapText="1"/>
    </xf>
    <xf numFmtId="0" fontId="7" fillId="0" borderId="0" xfId="0" applyFont="1" applyAlignment="1">
      <alignment horizontal="left"/>
    </xf>
    <xf numFmtId="0" fontId="2" fillId="5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4">
    <cellStyle name="Komma" xfId="1" builtinId="3"/>
    <cellStyle name="Procent" xfId="2" builtinId="5"/>
    <cellStyle name="Standaard" xfId="0" builtinId="0"/>
    <cellStyle name="Stijl 1" xfId="3" xr:uid="{14EA8B32-88C9-43FF-8CBD-1A038CAC32ED}"/>
  </cellStyles>
  <dxfs count="4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33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theme="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1"/>
      </font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3300"/>
      <color rgb="FFCCDDE7"/>
      <color rgb="FFCCDDEA"/>
      <color rgb="FFBDD7EE"/>
      <color rgb="FFCCE7C8"/>
      <color rgb="FF9BC2E6"/>
      <color rgb="FFACC8DC"/>
      <color rgb="FFACC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1"/>
  <dimension ref="A1:R385"/>
  <sheetViews>
    <sheetView showGridLines="0" tabSelected="1" zoomScaleNormal="100" workbookViewId="0">
      <selection activeCell="D6" sqref="D6:K6"/>
    </sheetView>
  </sheetViews>
  <sheetFormatPr defaultColWidth="9.140625" defaultRowHeight="15" zeroHeight="1" x14ac:dyDescent="0.25"/>
  <cols>
    <col min="1" max="1" width="3.28515625" style="71" customWidth="1"/>
    <col min="2" max="2" width="11" style="71" customWidth="1"/>
    <col min="3" max="3" width="12.28515625" style="71" customWidth="1"/>
    <col min="4" max="4" width="11" style="71" customWidth="1"/>
    <col min="5" max="5" width="7.42578125" style="71" customWidth="1"/>
    <col min="6" max="6" width="2.85546875" style="71" customWidth="1"/>
    <col min="7" max="7" width="10.7109375" style="83" customWidth="1"/>
    <col min="8" max="8" width="10.85546875" style="71" customWidth="1"/>
    <col min="9" max="9" width="9.85546875" style="71" customWidth="1"/>
    <col min="10" max="10" width="10.42578125" style="71" customWidth="1"/>
    <col min="11" max="11" width="12.42578125" style="71" customWidth="1"/>
    <col min="12" max="12" width="3.28515625" style="72" hidden="1" customWidth="1"/>
    <col min="13" max="13" width="18.140625" style="73" hidden="1" customWidth="1"/>
    <col min="14" max="14" width="12" style="74" hidden="1" customWidth="1"/>
    <col min="15" max="15" width="9.85546875" style="82" hidden="1" customWidth="1"/>
    <col min="16" max="16" width="10.140625" style="82" hidden="1" customWidth="1"/>
    <col min="17" max="17" width="10.42578125" style="75" bestFit="1" customWidth="1"/>
    <col min="18" max="18" width="10" style="75" bestFit="1" customWidth="1"/>
    <col min="19" max="16384" width="9.140625" style="75"/>
  </cols>
  <sheetData>
    <row r="1" spans="2:14" ht="15" customHeight="1" x14ac:dyDescent="0.25">
      <c r="B1" s="100"/>
      <c r="C1" s="100"/>
      <c r="D1" s="100"/>
      <c r="E1" s="100"/>
      <c r="F1" s="100"/>
      <c r="G1" s="100"/>
      <c r="H1" s="100"/>
      <c r="I1" s="100"/>
      <c r="J1" s="100"/>
      <c r="K1" s="100"/>
      <c r="M1" s="94"/>
      <c r="N1" s="101"/>
    </row>
    <row r="2" spans="2:14" ht="29.25" customHeight="1" x14ac:dyDescent="0.25">
      <c r="B2" s="150" t="s">
        <v>0</v>
      </c>
      <c r="C2" s="151"/>
      <c r="D2" s="151"/>
      <c r="E2" s="151"/>
      <c r="F2" s="151"/>
      <c r="G2" s="151"/>
      <c r="H2" s="151"/>
      <c r="I2" s="151"/>
      <c r="J2" s="151"/>
      <c r="K2" s="152"/>
      <c r="M2" s="94"/>
      <c r="N2" s="101"/>
    </row>
    <row r="3" spans="2:14" ht="14.1" customHeight="1" x14ac:dyDescent="0.25">
      <c r="B3" s="76"/>
      <c r="C3" s="76"/>
      <c r="D3" s="76"/>
      <c r="E3" s="76"/>
      <c r="F3" s="76"/>
      <c r="G3" s="76"/>
      <c r="H3" s="76"/>
      <c r="I3" s="76"/>
      <c r="J3" s="76"/>
      <c r="K3" s="76"/>
      <c r="M3" s="94"/>
      <c r="N3" s="101"/>
    </row>
    <row r="4" spans="2:14" ht="15" customHeight="1" x14ac:dyDescent="0.25">
      <c r="B4" s="54" t="s">
        <v>59</v>
      </c>
      <c r="C4" s="76"/>
      <c r="D4" s="96">
        <v>25874</v>
      </c>
      <c r="E4" s="76"/>
      <c r="F4" s="76"/>
      <c r="G4" s="137" t="s">
        <v>278</v>
      </c>
      <c r="H4" s="76"/>
      <c r="I4" s="76"/>
      <c r="J4" s="76"/>
      <c r="K4" s="76"/>
      <c r="M4" s="94" t="s">
        <v>1</v>
      </c>
      <c r="N4" s="101" t="str">
        <f>VLOOKUP($D$5,Parameters!$A$97:$B$101,2,FALSE)</f>
        <v>Economie</v>
      </c>
    </row>
    <row r="5" spans="2:14" ht="15" customHeight="1" x14ac:dyDescent="0.25">
      <c r="B5" s="100" t="s">
        <v>1</v>
      </c>
      <c r="C5" s="100"/>
      <c r="D5" s="153" t="s">
        <v>166</v>
      </c>
      <c r="E5" s="155"/>
      <c r="F5" s="100"/>
      <c r="G5" s="77" t="s">
        <v>5</v>
      </c>
      <c r="H5" s="162" t="s">
        <v>307</v>
      </c>
      <c r="I5" s="162"/>
      <c r="J5" s="100"/>
      <c r="K5" s="100"/>
      <c r="M5" s="94" t="s">
        <v>5</v>
      </c>
      <c r="N5" s="101" t="str">
        <f>IF($D$5="Technologie &amp; ICT",$H$5,"")</f>
        <v/>
      </c>
    </row>
    <row r="6" spans="2:14" ht="15" customHeight="1" x14ac:dyDescent="0.25">
      <c r="B6" s="100" t="s">
        <v>279</v>
      </c>
      <c r="C6" s="100"/>
      <c r="D6" s="153" t="s">
        <v>286</v>
      </c>
      <c r="E6" s="154"/>
      <c r="F6" s="154"/>
      <c r="G6" s="154"/>
      <c r="H6" s="154"/>
      <c r="I6" s="154"/>
      <c r="J6" s="154"/>
      <c r="K6" s="155"/>
      <c r="M6" s="94" t="s">
        <v>7</v>
      </c>
      <c r="N6" s="94" t="str">
        <f>VLOOKUP($D$7,Parameters!$A$81:$E$82,2,FALSE)</f>
        <v>BBL</v>
      </c>
    </row>
    <row r="7" spans="2:14" ht="15" customHeight="1" x14ac:dyDescent="0.25">
      <c r="B7" s="100" t="s">
        <v>7</v>
      </c>
      <c r="C7" s="100"/>
      <c r="D7" s="153" t="s">
        <v>9</v>
      </c>
      <c r="E7" s="155"/>
      <c r="F7" s="100"/>
      <c r="G7" s="102" t="str">
        <f>"(Niveau "&amp;N9&amp;")"</f>
        <v>(Niveau 3)</v>
      </c>
      <c r="H7" s="102"/>
      <c r="I7" s="100"/>
      <c r="J7" s="100"/>
      <c r="K7" s="100"/>
      <c r="M7" s="94" t="s">
        <v>10</v>
      </c>
      <c r="N7" s="94">
        <f>VLOOKUP($D$7,Parameters!$A$81:$E$82,3,FALSE)</f>
        <v>3</v>
      </c>
    </row>
    <row r="8" spans="2:14" ht="15" customHeight="1" x14ac:dyDescent="0.25">
      <c r="B8" s="100" t="s">
        <v>60</v>
      </c>
      <c r="C8" s="100"/>
      <c r="D8" s="153" t="s">
        <v>290</v>
      </c>
      <c r="E8" s="155"/>
      <c r="F8" s="100"/>
      <c r="G8" s="102" t="str">
        <f>"(Leerjaar "&amp;N8&amp;")"</f>
        <v>(Leerjaar 1)</v>
      </c>
      <c r="H8" s="102"/>
      <c r="I8" s="100"/>
      <c r="J8" s="100"/>
      <c r="K8" s="100"/>
      <c r="M8" s="94" t="s">
        <v>13</v>
      </c>
      <c r="N8" s="94">
        <f>VLOOKUP($D$8,Parameters!$A$104:$B$107,2,FALSE)</f>
        <v>1</v>
      </c>
    </row>
    <row r="9" spans="2:14" ht="15" customHeight="1" x14ac:dyDescent="0.25">
      <c r="B9" s="100" t="s">
        <v>280</v>
      </c>
      <c r="C9" s="100"/>
      <c r="D9" s="153" t="s">
        <v>15</v>
      </c>
      <c r="E9" s="155"/>
      <c r="F9" s="100"/>
      <c r="G9" s="78" t="str">
        <f>IF(N12="sprint","(Sprint-traject)","")</f>
        <v/>
      </c>
      <c r="H9" s="100"/>
      <c r="I9" s="100"/>
      <c r="J9" s="100"/>
      <c r="K9" s="100"/>
      <c r="M9" s="101" t="s">
        <v>16</v>
      </c>
      <c r="N9" s="101">
        <f>VLOOKUP($D$6,Opleidingen!A2:B154,2,FALSE)</f>
        <v>3</v>
      </c>
    </row>
    <row r="10" spans="2:14" ht="15" customHeight="1" x14ac:dyDescent="0.25">
      <c r="B10" s="100" t="s">
        <v>281</v>
      </c>
      <c r="C10" s="100"/>
      <c r="D10" s="98">
        <v>45870</v>
      </c>
      <c r="E10" s="100"/>
      <c r="F10" s="100"/>
      <c r="G10" s="100" t="s">
        <v>17</v>
      </c>
      <c r="H10" s="100"/>
      <c r="I10" s="100"/>
      <c r="J10" s="100"/>
      <c r="K10" s="100"/>
      <c r="M10" s="94" t="s">
        <v>18</v>
      </c>
      <c r="N10" s="94">
        <f>VLOOKUP($D$9,Parameters!$A$4:$R$27,17,FALSE)</f>
        <v>20</v>
      </c>
    </row>
    <row r="11" spans="2:14" ht="15" customHeight="1" x14ac:dyDescent="0.25">
      <c r="B11" s="100" t="s">
        <v>282</v>
      </c>
      <c r="C11" s="100"/>
      <c r="D11" s="98">
        <v>46234</v>
      </c>
      <c r="E11" s="100"/>
      <c r="F11" s="100"/>
      <c r="G11" s="100" t="s">
        <v>17</v>
      </c>
      <c r="H11" s="100"/>
      <c r="I11" s="100"/>
      <c r="J11" s="100"/>
      <c r="K11" s="100"/>
      <c r="M11" s="94" t="s">
        <v>19</v>
      </c>
      <c r="N11" s="101">
        <f>VLOOKUP($D$9,Parameters!$A$4:$R$27,18,FALSE)</f>
        <v>2</v>
      </c>
    </row>
    <row r="12" spans="2:14" ht="14.1" customHeight="1" x14ac:dyDescent="0.25"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M12" s="94" t="s">
        <v>20</v>
      </c>
      <c r="N12" s="101" t="str">
        <f>IF(ISERROR(SEARCH("sprint",$D$6)),"regulier","sprint")</f>
        <v>regulier</v>
      </c>
    </row>
    <row r="13" spans="2:14" x14ac:dyDescent="0.25">
      <c r="B13" s="103" t="s">
        <v>21</v>
      </c>
      <c r="C13" s="104"/>
      <c r="D13" s="104"/>
      <c r="E13" s="104"/>
      <c r="F13" s="104"/>
      <c r="G13" s="104"/>
      <c r="H13" s="104"/>
      <c r="I13" s="104"/>
      <c r="J13" s="104"/>
      <c r="K13" s="105" t="str">
        <f>IF(K15=0,"Ja","Nee")</f>
        <v>Ja</v>
      </c>
      <c r="M13" s="94" t="s">
        <v>22</v>
      </c>
      <c r="N13" s="101">
        <f>$D$4</f>
        <v>25874</v>
      </c>
    </row>
    <row r="14" spans="2:14" x14ac:dyDescent="0.25">
      <c r="B14" s="103" t="s">
        <v>23</v>
      </c>
      <c r="C14" s="104"/>
      <c r="D14" s="104"/>
      <c r="E14" s="104"/>
      <c r="F14" s="104"/>
      <c r="G14" s="104"/>
      <c r="H14" s="104"/>
      <c r="I14" s="104"/>
      <c r="J14" s="104"/>
      <c r="K14" s="105" t="str">
        <f>IF(N51=0,"Ja","Nee")</f>
        <v>Ja</v>
      </c>
      <c r="M14" s="94"/>
      <c r="N14" s="101"/>
    </row>
    <row r="15" spans="2:14" x14ac:dyDescent="0.25">
      <c r="B15" s="79" t="s">
        <v>24</v>
      </c>
      <c r="C15" s="80"/>
      <c r="D15" s="80"/>
      <c r="E15" s="80"/>
      <c r="F15" s="80"/>
      <c r="G15" s="106"/>
      <c r="H15" s="106"/>
      <c r="I15" s="106"/>
      <c r="J15" s="106"/>
      <c r="K15" s="81">
        <f>COUNTIF(M18:M22,"Nee")</f>
        <v>0</v>
      </c>
      <c r="M15" s="94"/>
      <c r="N15" s="101"/>
    </row>
    <row r="16" spans="2:14" ht="9" customHeight="1" x14ac:dyDescent="0.25"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M16" s="94"/>
      <c r="N16" s="101"/>
    </row>
    <row r="17" spans="1:18" x14ac:dyDescent="0.25">
      <c r="B17" s="156"/>
      <c r="C17" s="156"/>
      <c r="D17" s="156"/>
      <c r="E17" s="156"/>
      <c r="F17" s="157"/>
      <c r="G17" s="158" t="s">
        <v>25</v>
      </c>
      <c r="H17" s="159"/>
      <c r="I17" s="160" t="s">
        <v>26</v>
      </c>
      <c r="J17" s="161"/>
      <c r="K17" s="107" t="s">
        <v>27</v>
      </c>
      <c r="M17" s="108" t="s">
        <v>28</v>
      </c>
      <c r="N17" s="27" t="s">
        <v>283</v>
      </c>
      <c r="O17" s="69" t="s">
        <v>284</v>
      </c>
    </row>
    <row r="18" spans="1:18" x14ac:dyDescent="0.25">
      <c r="A18" s="100"/>
      <c r="B18" s="143" t="s">
        <v>30</v>
      </c>
      <c r="C18" s="144"/>
      <c r="D18" s="144"/>
      <c r="E18" s="144"/>
      <c r="F18" s="144"/>
      <c r="G18" s="145">
        <f>N18</f>
        <v>850</v>
      </c>
      <c r="H18" s="146"/>
      <c r="I18" s="145">
        <f>(I19+I20+I21)</f>
        <v>857.2</v>
      </c>
      <c r="J18" s="146"/>
      <c r="K18" s="105" t="str">
        <f>IF(I18="-","",IF(K51&gt;(I18-1),"Ja","Nee"))</f>
        <v>Ja</v>
      </c>
      <c r="M18" s="94" t="str">
        <f>IF(K51&gt;G18,"Ja","Nee")</f>
        <v>Ja</v>
      </c>
      <c r="N18" s="109">
        <f>IF(ISERROR(O18),(VLOOKUP($D$9,Parameters!$A$4:$R$78,$N$7,FALSE)),O18)</f>
        <v>850</v>
      </c>
      <c r="O18" s="110">
        <f>VLOOKUP(($D$4),Parameters!$A$4:$R$78,$N$7,FALSE)</f>
        <v>850</v>
      </c>
      <c r="Q18" s="111"/>
      <c r="R18" s="111"/>
    </row>
    <row r="19" spans="1:18" x14ac:dyDescent="0.25">
      <c r="A19" s="100"/>
      <c r="B19" s="143" t="s">
        <v>31</v>
      </c>
      <c r="C19" s="144"/>
      <c r="D19" s="144"/>
      <c r="E19" s="144"/>
      <c r="F19" s="144"/>
      <c r="G19" s="145">
        <f>N19</f>
        <v>200</v>
      </c>
      <c r="H19" s="146"/>
      <c r="I19" s="145">
        <f>IF(G19="-","-",G19*(100%+Parameters!$B$91))</f>
        <v>206</v>
      </c>
      <c r="J19" s="146"/>
      <c r="K19" s="105" t="str">
        <f>IF(I19="-","nvt",IF(I51&lt;G19,"Nee",IF(I51&lt;I19,"Nee","Ja")))</f>
        <v>Ja</v>
      </c>
      <c r="M19" s="94" t="str">
        <f>IF(G19="-","nvt",IF(I51&gt;G19,"Ja","Nee"))</f>
        <v>Ja</v>
      </c>
      <c r="N19" s="109">
        <f>IF(ISERROR(O19),(VLOOKUP($D$9,Parameters!$A$4:$R$78,$N$7+3,FALSE)),O19)</f>
        <v>200</v>
      </c>
      <c r="O19" s="110">
        <f>VLOOKUP($D$4,Parameters!$A$4:$R$78,$N$7+3,FALSE)</f>
        <v>200</v>
      </c>
      <c r="Q19" s="111"/>
      <c r="R19" s="112"/>
    </row>
    <row r="20" spans="1:18" x14ac:dyDescent="0.25">
      <c r="A20" s="100"/>
      <c r="B20" s="143" t="s">
        <v>32</v>
      </c>
      <c r="C20" s="144"/>
      <c r="D20" s="144"/>
      <c r="E20" s="144"/>
      <c r="F20" s="144"/>
      <c r="G20" s="145">
        <f>N20</f>
        <v>610</v>
      </c>
      <c r="H20" s="146"/>
      <c r="I20" s="145">
        <f>IF(G20="-","-",G20*(100%))</f>
        <v>610</v>
      </c>
      <c r="J20" s="146"/>
      <c r="K20" s="105" t="str">
        <f>IF(I20="-","nvt",IF(J51&gt;(I20-1),"Ja","Nee"))</f>
        <v>Ja</v>
      </c>
      <c r="M20" s="94" t="str">
        <f>IF(G20="-","nvt",IF(J51&gt;=G20,"Ja","Nee"))</f>
        <v>Ja</v>
      </c>
      <c r="N20" s="109">
        <f>IF(ISERROR(O20),(VLOOKUP($D$9,Parameters!$A$4:$R$78,$N$7+6,FALSE)),O20)</f>
        <v>610</v>
      </c>
      <c r="O20" s="110">
        <f>VLOOKUP($D$4,Parameters!$A$4:$R$78,$N$7+6,FALSE)</f>
        <v>610</v>
      </c>
      <c r="Q20" s="111"/>
      <c r="R20" s="111"/>
    </row>
    <row r="21" spans="1:18" x14ac:dyDescent="0.25">
      <c r="A21" s="100"/>
      <c r="B21" s="143" t="s">
        <v>33</v>
      </c>
      <c r="C21" s="144"/>
      <c r="D21" s="144"/>
      <c r="E21" s="144"/>
      <c r="F21" s="144"/>
      <c r="G21" s="145">
        <f>N21</f>
        <v>40</v>
      </c>
      <c r="H21" s="146"/>
      <c r="I21" s="145">
        <f>IF(G21="-","-",G21*(100%+Parameters!$B$91))</f>
        <v>41.2</v>
      </c>
      <c r="J21" s="146"/>
      <c r="K21" s="105" t="s">
        <v>34</v>
      </c>
      <c r="M21" s="94" t="s">
        <v>34</v>
      </c>
      <c r="N21" s="109">
        <f>IF(ISERROR(O21),(VLOOKUP($D$9,Parameters!$A$4:$R$78,$N$7+9,FALSE)),O21)</f>
        <v>40</v>
      </c>
      <c r="O21" s="110">
        <f>VLOOKUP($D$4,Parameters!$A$4:$R$78,$N$7+9,FALSE)</f>
        <v>40</v>
      </c>
      <c r="Q21" s="111"/>
      <c r="R21" s="111"/>
    </row>
    <row r="22" spans="1:18" x14ac:dyDescent="0.25">
      <c r="A22" s="100"/>
      <c r="B22" s="143" t="s">
        <v>35</v>
      </c>
      <c r="C22" s="144"/>
      <c r="D22" s="144"/>
      <c r="E22" s="144"/>
      <c r="F22" s="144"/>
      <c r="G22" s="145">
        <f>N22</f>
        <v>0</v>
      </c>
      <c r="H22" s="146"/>
      <c r="I22" s="145">
        <f>IF(G22="-","-",G22*(100%+Parameters!$B$91))</f>
        <v>0</v>
      </c>
      <c r="J22" s="146"/>
      <c r="K22" s="105" t="str">
        <f>IF(I22="-","nvt",(IF(H30+I30&gt;(I22-1),"Ja","Nee")))</f>
        <v>Ja</v>
      </c>
      <c r="M22" s="94" t="str">
        <f>IF(G22="-","nvt",IF(H30+I30&gt;G22,"Ja","Nee"))</f>
        <v>Ja</v>
      </c>
      <c r="N22" s="101">
        <f>IF(ISERROR(O22),(VLOOKUP($D$9,Parameters!$A$4:$R$78,$N$7+12,FALSE)),O22)</f>
        <v>0</v>
      </c>
      <c r="O22" s="110">
        <f>VLOOKUP($D$4,Parameters!$A$4:$R$78,$N$7+12,FALSE)</f>
        <v>0</v>
      </c>
      <c r="Q22" s="111"/>
      <c r="R22" s="111"/>
    </row>
    <row r="23" spans="1:18" ht="9" customHeight="1" x14ac:dyDescent="0.25">
      <c r="A23" s="113"/>
      <c r="B23" s="100"/>
      <c r="C23" s="100"/>
      <c r="D23" s="100"/>
      <c r="E23" s="100"/>
      <c r="F23" s="100"/>
      <c r="G23" s="113"/>
      <c r="H23" s="100"/>
      <c r="I23" s="100"/>
      <c r="J23" s="100"/>
      <c r="K23" s="100"/>
      <c r="M23" s="94"/>
      <c r="N23" s="101"/>
      <c r="O23" s="110"/>
      <c r="P23" s="110"/>
      <c r="Q23" s="111"/>
      <c r="R23" s="111"/>
    </row>
    <row r="24" spans="1:18" s="85" customFormat="1" ht="15" customHeight="1" x14ac:dyDescent="0.25">
      <c r="A24" s="100"/>
      <c r="B24" s="100"/>
      <c r="C24" s="113"/>
      <c r="D24" s="147" t="s">
        <v>36</v>
      </c>
      <c r="E24" s="148"/>
      <c r="F24" s="148"/>
      <c r="G24" s="148"/>
      <c r="H24" s="148"/>
      <c r="I24" s="149"/>
      <c r="J24" s="114" t="s">
        <v>37</v>
      </c>
      <c r="K24" s="114" t="s">
        <v>38</v>
      </c>
      <c r="L24" s="72"/>
      <c r="M24" s="115"/>
      <c r="N24" s="116"/>
      <c r="O24" s="117"/>
      <c r="P24" s="117"/>
      <c r="Q24" s="118"/>
      <c r="R24" s="118"/>
    </row>
    <row r="25" spans="1:18" s="84" customFormat="1" ht="29.25" customHeight="1" x14ac:dyDescent="0.25">
      <c r="A25" s="100"/>
      <c r="B25" s="113"/>
      <c r="C25" s="113"/>
      <c r="D25" s="119" t="s">
        <v>39</v>
      </c>
      <c r="E25" s="142" t="s">
        <v>40</v>
      </c>
      <c r="F25" s="142"/>
      <c r="G25" s="120" t="s">
        <v>41</v>
      </c>
      <c r="H25" s="120" t="s">
        <v>42</v>
      </c>
      <c r="I25" s="120" t="s">
        <v>43</v>
      </c>
      <c r="J25" s="114"/>
      <c r="K25" s="114"/>
      <c r="L25" s="86"/>
      <c r="M25" s="27" t="s">
        <v>44</v>
      </c>
      <c r="N25" s="101"/>
      <c r="O25" s="121" t="s">
        <v>29</v>
      </c>
      <c r="P25" s="121" t="s">
        <v>45</v>
      </c>
      <c r="Q25" s="117"/>
      <c r="R25" s="117"/>
    </row>
    <row r="26" spans="1:18" x14ac:dyDescent="0.25">
      <c r="A26" s="100"/>
      <c r="B26" s="139" t="str">
        <f>"Leerjaar "&amp;$N$8</f>
        <v>Leerjaar 1</v>
      </c>
      <c r="C26" s="113" t="s">
        <v>46</v>
      </c>
      <c r="D26" s="123">
        <v>8</v>
      </c>
      <c r="E26" s="140">
        <f>(D26*Parameters!$B$92)/60</f>
        <v>6.666666666666667</v>
      </c>
      <c r="F26" s="141"/>
      <c r="G26" s="124">
        <f>IF($N$6="BOL",Parameters!C85,Parameters!B85)</f>
        <v>9</v>
      </c>
      <c r="H26" s="125">
        <f>E26*G26</f>
        <v>60</v>
      </c>
      <c r="I26" s="126"/>
      <c r="J26" s="126">
        <v>200</v>
      </c>
      <c r="K26" s="125">
        <f>J26+I26+H26</f>
        <v>260</v>
      </c>
      <c r="M26" s="101" t="s">
        <v>47</v>
      </c>
      <c r="N26" s="109">
        <f>IF(N10&gt;=10,10,N10)</f>
        <v>10</v>
      </c>
      <c r="O26" s="110"/>
      <c r="P26" s="110"/>
      <c r="Q26" s="111"/>
      <c r="R26" s="111"/>
    </row>
    <row r="27" spans="1:18" x14ac:dyDescent="0.25">
      <c r="A27" s="100"/>
      <c r="B27" s="139"/>
      <c r="C27" s="113" t="s">
        <v>48</v>
      </c>
      <c r="D27" s="126">
        <v>8</v>
      </c>
      <c r="E27" s="140">
        <f>(D27*Parameters!$B$92)/60</f>
        <v>6.666666666666667</v>
      </c>
      <c r="F27" s="141"/>
      <c r="G27" s="124">
        <f>IF($N$6="BOL",Parameters!C86,Parameters!B86)</f>
        <v>9</v>
      </c>
      <c r="H27" s="125">
        <f>E27*G27</f>
        <v>60</v>
      </c>
      <c r="I27" s="126"/>
      <c r="J27" s="126">
        <v>200</v>
      </c>
      <c r="K27" s="125">
        <f>J27+I27+H27</f>
        <v>260</v>
      </c>
      <c r="M27" s="101" t="s">
        <v>49</v>
      </c>
      <c r="N27" s="109">
        <f>N22*(100%+Parameters!$B$91)</f>
        <v>0</v>
      </c>
      <c r="O27" s="110">
        <f>N22</f>
        <v>0</v>
      </c>
      <c r="P27" s="110">
        <f>IF(H30+I30&gt;=O27,0,1)</f>
        <v>0</v>
      </c>
      <c r="Q27" s="111"/>
      <c r="R27" s="111"/>
    </row>
    <row r="28" spans="1:18" x14ac:dyDescent="0.25">
      <c r="A28" s="100"/>
      <c r="B28" s="139"/>
      <c r="C28" s="113" t="s">
        <v>50</v>
      </c>
      <c r="D28" s="126">
        <v>8</v>
      </c>
      <c r="E28" s="140">
        <f>(D28*Parameters!$B$92)/60</f>
        <v>6.666666666666667</v>
      </c>
      <c r="F28" s="141"/>
      <c r="G28" s="124">
        <f>IF($N$6="BOL",Parameters!C87,Parameters!B87)</f>
        <v>9</v>
      </c>
      <c r="H28" s="125">
        <f>E28*G28</f>
        <v>60</v>
      </c>
      <c r="I28" s="126"/>
      <c r="J28" s="126">
        <v>200</v>
      </c>
      <c r="K28" s="125">
        <f>J28+I28+H28</f>
        <v>260</v>
      </c>
      <c r="M28" s="101" t="s">
        <v>51</v>
      </c>
      <c r="N28" s="109">
        <f>IF(OR($N$6="BOL",$N$6="VRIJ"),0,N26*610/10)*(100%)</f>
        <v>610</v>
      </c>
      <c r="O28" s="110">
        <f>N28/(100%)</f>
        <v>610</v>
      </c>
      <c r="P28" s="110">
        <f>IF(J30&gt;=O28,0,1)</f>
        <v>0</v>
      </c>
      <c r="Q28" s="111"/>
      <c r="R28" s="111"/>
    </row>
    <row r="29" spans="1:18" x14ac:dyDescent="0.25">
      <c r="A29" s="100"/>
      <c r="B29" s="139"/>
      <c r="C29" s="113" t="s">
        <v>52</v>
      </c>
      <c r="D29" s="126">
        <v>8</v>
      </c>
      <c r="E29" s="140">
        <f>(D29*Parameters!$B$92)/60</f>
        <v>6.666666666666667</v>
      </c>
      <c r="F29" s="141"/>
      <c r="G29" s="124">
        <f>IF($N$6="BOL",Parameters!C88,Parameters!B88)</f>
        <v>8</v>
      </c>
      <c r="H29" s="125">
        <f>E29*G29</f>
        <v>53.333333333333336</v>
      </c>
      <c r="I29" s="126"/>
      <c r="J29" s="126">
        <v>200</v>
      </c>
      <c r="K29" s="125">
        <f>J29+I29+H29</f>
        <v>253.33333333333334</v>
      </c>
      <c r="M29" s="101" t="s">
        <v>53</v>
      </c>
      <c r="N29" s="109">
        <f>IF($N$6="BOL",N26*1000/10,IF($N$6="BBL",N26*850/10,0))*(100%+Parameters!$B$91)</f>
        <v>875.5</v>
      </c>
      <c r="O29" s="110">
        <f>N29/(100%+Parameters!$B$91)</f>
        <v>850</v>
      </c>
      <c r="P29" s="110">
        <f>IF(K30&gt;=O29,0,1)</f>
        <v>0</v>
      </c>
      <c r="Q29" s="111"/>
      <c r="R29" s="127"/>
    </row>
    <row r="30" spans="1:18" x14ac:dyDescent="0.25">
      <c r="A30" s="100"/>
      <c r="B30" s="100"/>
      <c r="C30" s="113"/>
      <c r="D30" s="87" t="str">
        <f>IF(K30&gt;Parameters!$D$91,"Teveel uren?","")</f>
        <v>Teveel uren?</v>
      </c>
      <c r="E30" s="128"/>
      <c r="F30" s="100"/>
      <c r="G30" s="129" t="str">
        <f>"Totaal: "</f>
        <v xml:space="preserve">Totaal: </v>
      </c>
      <c r="H30" s="130">
        <f>SUM(H26:H29)</f>
        <v>233.33333333333334</v>
      </c>
      <c r="I30" s="130">
        <f>SUM(I26:I29)</f>
        <v>0</v>
      </c>
      <c r="J30" s="131">
        <f>SUM(J26:J29)</f>
        <v>800</v>
      </c>
      <c r="K30" s="131">
        <f>SUM(K26:K29)</f>
        <v>1033.3333333333333</v>
      </c>
      <c r="M30" s="94" t="s">
        <v>54</v>
      </c>
      <c r="N30" s="109">
        <f>IF(AND(H30+I30&gt;=N27,J30&gt;=N28,K30&gt;=N29),0,1)</f>
        <v>0</v>
      </c>
      <c r="O30" s="110"/>
      <c r="P30" s="110">
        <f>SUM(P27:P29)</f>
        <v>0</v>
      </c>
      <c r="Q30" s="111"/>
      <c r="R30" s="111"/>
    </row>
    <row r="31" spans="1:18" x14ac:dyDescent="0.25">
      <c r="A31" s="100"/>
      <c r="B31" s="100"/>
      <c r="C31" s="113"/>
      <c r="D31" s="113"/>
      <c r="E31" s="128"/>
      <c r="F31" s="100"/>
      <c r="G31" s="100"/>
      <c r="H31" s="100"/>
      <c r="I31" s="100"/>
      <c r="J31" s="100"/>
      <c r="K31" s="100"/>
      <c r="M31" s="101"/>
      <c r="N31" s="101"/>
      <c r="O31" s="110"/>
      <c r="P31" s="110"/>
      <c r="Q31" s="111"/>
      <c r="R31" s="111"/>
    </row>
    <row r="32" spans="1:18" x14ac:dyDescent="0.25">
      <c r="A32" s="100"/>
      <c r="B32" s="139" t="str">
        <f>IF($N$11&gt;=2,"Leerjaar "&amp;$N$8+1,"")</f>
        <v>Leerjaar 2</v>
      </c>
      <c r="C32" s="113" t="s">
        <v>46</v>
      </c>
      <c r="D32" s="126">
        <v>8</v>
      </c>
      <c r="E32" s="140">
        <f>(D32*Parameters!$B$92)/60</f>
        <v>6.666666666666667</v>
      </c>
      <c r="F32" s="141"/>
      <c r="G32" s="124">
        <f>IF($N$11&gt;=2,IF($N$6="BOL",Parameters!C85,Parameters!B85),"-")</f>
        <v>9</v>
      </c>
      <c r="H32" s="125">
        <f>IF(G32&lt;&gt;"-",E32*G32,0)</f>
        <v>60</v>
      </c>
      <c r="I32" s="126">
        <v>0</v>
      </c>
      <c r="J32" s="126">
        <v>200</v>
      </c>
      <c r="K32" s="125">
        <f t="shared" ref="K32:K35" si="0">J32+I32+H32</f>
        <v>260</v>
      </c>
      <c r="M32" s="101" t="s">
        <v>47</v>
      </c>
      <c r="N32" s="109">
        <f>IF(N10-N26&gt;=10,10,N10-N26)</f>
        <v>10</v>
      </c>
      <c r="O32" s="110"/>
      <c r="P32" s="110"/>
      <c r="Q32" s="111"/>
      <c r="R32" s="111"/>
    </row>
    <row r="33" spans="1:18" x14ac:dyDescent="0.25">
      <c r="A33" s="100"/>
      <c r="B33" s="139"/>
      <c r="C33" s="113" t="s">
        <v>48</v>
      </c>
      <c r="D33" s="126">
        <v>8</v>
      </c>
      <c r="E33" s="140">
        <f>(D33*Parameters!$B$92)/60</f>
        <v>6.666666666666667</v>
      </c>
      <c r="F33" s="141"/>
      <c r="G33" s="124">
        <f>IF($N$11&gt;=2,IF($N$6="BOL",Parameters!C86,Parameters!B86),"-")</f>
        <v>9</v>
      </c>
      <c r="H33" s="125">
        <f t="shared" ref="H33:H35" si="1">IF(G33&lt;&gt;"-",E33*G33,0)</f>
        <v>60</v>
      </c>
      <c r="I33" s="126">
        <v>0</v>
      </c>
      <c r="J33" s="126">
        <v>200</v>
      </c>
      <c r="K33" s="125">
        <f t="shared" si="0"/>
        <v>260</v>
      </c>
      <c r="M33" s="101" t="s">
        <v>49</v>
      </c>
      <c r="N33" s="109">
        <f>IF(OR($N$6="BOL",$N$6="VRIJ"),0,N32*200/10)*(100%+Parameters!$B$91)</f>
        <v>206</v>
      </c>
      <c r="O33" s="110">
        <f>N33/(100%+Parameters!$B$91)</f>
        <v>200</v>
      </c>
      <c r="P33" s="110">
        <f>IF(H36+I36&gt;=O33,0,1)</f>
        <v>0</v>
      </c>
      <c r="Q33" s="111"/>
      <c r="R33" s="111"/>
    </row>
    <row r="34" spans="1:18" x14ac:dyDescent="0.25">
      <c r="B34" s="139"/>
      <c r="C34" s="113" t="s">
        <v>50</v>
      </c>
      <c r="D34" s="126">
        <v>11</v>
      </c>
      <c r="E34" s="140">
        <f>(D34*Parameters!$B$92)/60</f>
        <v>9.1666666666666661</v>
      </c>
      <c r="F34" s="141"/>
      <c r="G34" s="124">
        <f>IF($N$11&gt;=2,IF($N$6="BOL",Parameters!C87,Parameters!B87),"-")</f>
        <v>9</v>
      </c>
      <c r="H34" s="125">
        <f t="shared" si="1"/>
        <v>82.5</v>
      </c>
      <c r="I34" s="126">
        <v>0</v>
      </c>
      <c r="J34" s="126">
        <v>200</v>
      </c>
      <c r="K34" s="125">
        <f t="shared" si="0"/>
        <v>282.5</v>
      </c>
      <c r="M34" s="101" t="s">
        <v>51</v>
      </c>
      <c r="N34" s="109">
        <f>IF(OR($N$6="BOL",$N$6="VRIJ"),0,N32*610/10)*(100%)</f>
        <v>610</v>
      </c>
      <c r="O34" s="110">
        <f>N34/(100%)</f>
        <v>610</v>
      </c>
      <c r="P34" s="110">
        <f>IF(J36&gt;=O34,0,1)</f>
        <v>0</v>
      </c>
    </row>
    <row r="35" spans="1:18" x14ac:dyDescent="0.25">
      <c r="B35" s="139"/>
      <c r="C35" s="113" t="s">
        <v>52</v>
      </c>
      <c r="D35" s="126">
        <v>4</v>
      </c>
      <c r="E35" s="140">
        <f>(D35*Parameters!$B$92)/60</f>
        <v>3.3333333333333335</v>
      </c>
      <c r="F35" s="141"/>
      <c r="G35" s="124">
        <f>IF($N$11&gt;=2,IF($N$6="BOL",Parameters!C88,Parameters!B88),"-")</f>
        <v>8</v>
      </c>
      <c r="H35" s="125">
        <f t="shared" si="1"/>
        <v>26.666666666666668</v>
      </c>
      <c r="I35" s="126">
        <v>0</v>
      </c>
      <c r="J35" s="126">
        <v>200</v>
      </c>
      <c r="K35" s="125">
        <f t="shared" si="0"/>
        <v>226.66666666666666</v>
      </c>
      <c r="M35" s="101" t="s">
        <v>53</v>
      </c>
      <c r="N35" s="109">
        <f>IF($N$6="BOL",N32*1000/10,IF($N$6="BBL",N32*850/10,0))*(100%+Parameters!$B$91)</f>
        <v>875.5</v>
      </c>
      <c r="O35" s="110">
        <f>N35/(100%+Parameters!$B$91)</f>
        <v>850</v>
      </c>
      <c r="P35" s="110">
        <f>IF(K36&gt;=O35,0,1)</f>
        <v>0</v>
      </c>
    </row>
    <row r="36" spans="1:18" x14ac:dyDescent="0.25">
      <c r="B36" s="122"/>
      <c r="C36" s="113"/>
      <c r="D36" s="87" t="str">
        <f>IF(K36&gt;Parameters!$D$91,"Teveel uren?","")</f>
        <v/>
      </c>
      <c r="E36" s="128"/>
      <c r="F36" s="100"/>
      <c r="G36" s="129" t="str">
        <f>IF($N$11&gt;=2,"Totaal: ","")</f>
        <v xml:space="preserve">Totaal: </v>
      </c>
      <c r="H36" s="130">
        <f>SUM(H32:H35)</f>
        <v>229.16666666666666</v>
      </c>
      <c r="I36" s="130">
        <f>SUM(I32:I35)</f>
        <v>0</v>
      </c>
      <c r="J36" s="131">
        <f>SUM(J32:J35)</f>
        <v>800</v>
      </c>
      <c r="K36" s="131">
        <f>SUM(K32:K35)</f>
        <v>1029.1666666666667</v>
      </c>
      <c r="M36" s="94" t="s">
        <v>54</v>
      </c>
      <c r="N36" s="101">
        <f>IF(AND(H36+I36&gt;=N33,J36&gt;=N34,K36&gt;=N35),0,1)</f>
        <v>0</v>
      </c>
      <c r="O36" s="110"/>
      <c r="P36" s="110"/>
    </row>
    <row r="37" spans="1:18" x14ac:dyDescent="0.25">
      <c r="B37" s="100"/>
      <c r="C37" s="113"/>
      <c r="D37" s="113"/>
      <c r="E37" s="128"/>
      <c r="F37" s="100"/>
      <c r="G37" s="100"/>
      <c r="H37" s="100"/>
      <c r="I37" s="100"/>
      <c r="J37" s="100"/>
      <c r="K37" s="100"/>
      <c r="M37" s="101"/>
      <c r="N37" s="101"/>
      <c r="O37" s="110"/>
      <c r="P37" s="110"/>
    </row>
    <row r="38" spans="1:18" x14ac:dyDescent="0.25">
      <c r="B38" s="139" t="str">
        <f>IF($N$11&gt;=3,"Leerjaar "&amp;$N$8+2,"")</f>
        <v/>
      </c>
      <c r="C38" s="113" t="s">
        <v>46</v>
      </c>
      <c r="D38" s="126">
        <v>0</v>
      </c>
      <c r="E38" s="140">
        <f>(D38*Parameters!$B$92)/60</f>
        <v>0</v>
      </c>
      <c r="F38" s="141"/>
      <c r="G38" s="124" t="str">
        <f>IF($N$11&gt;=3,IF($N$6="BOL",Parameters!C85,Parameters!B85),"-")</f>
        <v>-</v>
      </c>
      <c r="H38" s="125">
        <f>IF(G38&lt;&gt;"-",E38*G38,0)</f>
        <v>0</v>
      </c>
      <c r="I38" s="126">
        <v>0</v>
      </c>
      <c r="J38" s="126">
        <v>0</v>
      </c>
      <c r="K38" s="125">
        <f>J38+I38+H38</f>
        <v>0</v>
      </c>
      <c r="M38" s="101" t="s">
        <v>47</v>
      </c>
      <c r="N38" s="109">
        <f>IF(N10-N26-N32&gt;=10,10,N10-N26-N32)</f>
        <v>0</v>
      </c>
      <c r="O38" s="110"/>
      <c r="P38" s="110"/>
    </row>
    <row r="39" spans="1:18" x14ac:dyDescent="0.25">
      <c r="B39" s="139"/>
      <c r="C39" s="113" t="s">
        <v>48</v>
      </c>
      <c r="D39" s="126">
        <v>0</v>
      </c>
      <c r="E39" s="140">
        <f>(D39*Parameters!$B$92)/60</f>
        <v>0</v>
      </c>
      <c r="F39" s="141"/>
      <c r="G39" s="124" t="str">
        <f>IF($N$11&gt;=3,IF($N$6="BOL",Parameters!C86,Parameters!B86),"-")</f>
        <v>-</v>
      </c>
      <c r="H39" s="125">
        <f t="shared" ref="H39:H41" si="2">IF(G39&lt;&gt;"-",E39*G39,0)</f>
        <v>0</v>
      </c>
      <c r="I39" s="126">
        <v>0</v>
      </c>
      <c r="J39" s="126">
        <v>0</v>
      </c>
      <c r="K39" s="125">
        <f>J39+I39+H39</f>
        <v>0</v>
      </c>
      <c r="M39" s="101" t="s">
        <v>49</v>
      </c>
      <c r="N39" s="109">
        <f>IF(OR($N$6="BOL",$N$6="VRIJ"),0,N38*200/10)*(100%+Parameters!$B$91)</f>
        <v>0</v>
      </c>
      <c r="O39" s="110">
        <f>N39/(100%+Parameters!$B$91)</f>
        <v>0</v>
      </c>
      <c r="P39" s="110">
        <f>IF(H42+I42&gt;=O39,0,1)</f>
        <v>0</v>
      </c>
    </row>
    <row r="40" spans="1:18" x14ac:dyDescent="0.25">
      <c r="B40" s="139"/>
      <c r="C40" s="113" t="s">
        <v>50</v>
      </c>
      <c r="D40" s="126">
        <v>0</v>
      </c>
      <c r="E40" s="140">
        <f>(D40*Parameters!$B$92)/60</f>
        <v>0</v>
      </c>
      <c r="F40" s="141"/>
      <c r="G40" s="124" t="str">
        <f>IF($N$11&gt;=3,IF($N$6="BOL",Parameters!C87,Parameters!B87),"-")</f>
        <v>-</v>
      </c>
      <c r="H40" s="125">
        <f t="shared" si="2"/>
        <v>0</v>
      </c>
      <c r="I40" s="126">
        <v>0</v>
      </c>
      <c r="J40" s="126">
        <v>0</v>
      </c>
      <c r="K40" s="125">
        <f>J40+I40+H40</f>
        <v>0</v>
      </c>
      <c r="M40" s="101" t="s">
        <v>51</v>
      </c>
      <c r="N40" s="109">
        <f>IF(OR($N$6="BOL",$N$6="VRIJ"),0,N38*610/10)*(100%)</f>
        <v>0</v>
      </c>
      <c r="O40" s="110">
        <f>N40/(100%)</f>
        <v>0</v>
      </c>
      <c r="P40" s="110">
        <f>IF(J42&gt;=O40,0,1)</f>
        <v>0</v>
      </c>
    </row>
    <row r="41" spans="1:18" x14ac:dyDescent="0.25">
      <c r="B41" s="139"/>
      <c r="C41" s="113" t="s">
        <v>52</v>
      </c>
      <c r="D41" s="126">
        <v>0</v>
      </c>
      <c r="E41" s="140">
        <f>(D41*Parameters!$B$92)/60</f>
        <v>0</v>
      </c>
      <c r="F41" s="141"/>
      <c r="G41" s="124" t="str">
        <f>IF($N$11&gt;=3,IF($N$6="BOL",Parameters!C88,Parameters!B88),"-")</f>
        <v>-</v>
      </c>
      <c r="H41" s="125">
        <f t="shared" si="2"/>
        <v>0</v>
      </c>
      <c r="I41" s="126">
        <v>0</v>
      </c>
      <c r="J41" s="126">
        <v>0</v>
      </c>
      <c r="K41" s="125">
        <f>J41+I41+H41</f>
        <v>0</v>
      </c>
      <c r="M41" s="101" t="s">
        <v>53</v>
      </c>
      <c r="N41" s="109">
        <f>IF($N$6="BOL",N38*1000/10,IF($N$6="BBL",N38*850/10,0))*(100%+Parameters!$B$91)</f>
        <v>0</v>
      </c>
      <c r="O41" s="110">
        <f>N41/(100%+Parameters!$B$91)</f>
        <v>0</v>
      </c>
      <c r="P41" s="110">
        <f>IF(K42&gt;=O41,0,1)</f>
        <v>0</v>
      </c>
    </row>
    <row r="42" spans="1:18" x14ac:dyDescent="0.25">
      <c r="B42" s="122"/>
      <c r="C42" s="113"/>
      <c r="D42" s="88" t="str">
        <f>IF(K42&gt;Parameters!$D$91,"Teveel uren?","")</f>
        <v/>
      </c>
      <c r="E42" s="128"/>
      <c r="F42" s="100"/>
      <c r="G42" s="129" t="str">
        <f>IF($N$11&gt;=3,"Totaal: ","")</f>
        <v/>
      </c>
      <c r="H42" s="130">
        <f>SUM(H38:H41)</f>
        <v>0</v>
      </c>
      <c r="I42" s="130">
        <f>SUM(I38:I41)</f>
        <v>0</v>
      </c>
      <c r="J42" s="131">
        <f>SUM(J38:J41)</f>
        <v>0</v>
      </c>
      <c r="K42" s="131">
        <f>SUM(K38:K41)</f>
        <v>0</v>
      </c>
      <c r="M42" s="94" t="s">
        <v>54</v>
      </c>
      <c r="N42" s="109">
        <f>IF(AND(H42+I42&gt;=N39,J42&gt;=N40,K42&gt;=N41),0,1)</f>
        <v>0</v>
      </c>
      <c r="O42" s="110"/>
      <c r="P42" s="110"/>
    </row>
    <row r="43" spans="1:18" x14ac:dyDescent="0.25">
      <c r="B43" s="100"/>
      <c r="C43" s="113"/>
      <c r="D43" s="100"/>
      <c r="E43" s="128"/>
      <c r="F43" s="100"/>
      <c r="G43" s="100"/>
      <c r="H43" s="100"/>
      <c r="I43" s="100"/>
      <c r="J43" s="100"/>
      <c r="K43" s="100"/>
      <c r="M43" s="101"/>
      <c r="N43" s="101"/>
      <c r="O43" s="110"/>
      <c r="P43" s="110"/>
    </row>
    <row r="44" spans="1:18" x14ac:dyDescent="0.25">
      <c r="B44" s="139" t="str">
        <f>IF($N$11&gt;=4,"Leerjaar "&amp;$N$8+3,"")</f>
        <v/>
      </c>
      <c r="C44" s="113" t="s">
        <v>46</v>
      </c>
      <c r="D44" s="126">
        <v>0</v>
      </c>
      <c r="E44" s="140">
        <f>(D44*Parameters!$B$92)/60</f>
        <v>0</v>
      </c>
      <c r="F44" s="141"/>
      <c r="G44" s="124" t="str">
        <f>IF($N$11&gt;=4,IF($N$6="BOL",Parameters!C85,Parameters!B85),"-")</f>
        <v>-</v>
      </c>
      <c r="H44" s="125">
        <f>IF(G44&lt;&gt;"-",E44*G44,0)</f>
        <v>0</v>
      </c>
      <c r="I44" s="126">
        <v>0</v>
      </c>
      <c r="J44" s="126">
        <v>0</v>
      </c>
      <c r="K44" s="125">
        <f>J44+I44+H44</f>
        <v>0</v>
      </c>
      <c r="M44" s="101" t="s">
        <v>47</v>
      </c>
      <c r="N44" s="109">
        <f>IF(N10-N26-N32-N38&gt;=10,10,N10-N26-N32-N38)</f>
        <v>0</v>
      </c>
      <c r="O44" s="110"/>
      <c r="P44" s="110"/>
    </row>
    <row r="45" spans="1:18" x14ac:dyDescent="0.25">
      <c r="B45" s="139"/>
      <c r="C45" s="113" t="s">
        <v>48</v>
      </c>
      <c r="D45" s="126">
        <v>0</v>
      </c>
      <c r="E45" s="140">
        <f>(D45*Parameters!$B$92)/60</f>
        <v>0</v>
      </c>
      <c r="F45" s="141"/>
      <c r="G45" s="124" t="str">
        <f>IF($N$11&gt;=4,IF($N$6="BOL",Parameters!C86,Parameters!B86),"-")</f>
        <v>-</v>
      </c>
      <c r="H45" s="125">
        <f t="shared" ref="H45:H47" si="3">IF(G45&lt;&gt;"-",E45*G45,0)</f>
        <v>0</v>
      </c>
      <c r="I45" s="126">
        <v>0</v>
      </c>
      <c r="J45" s="126">
        <v>0</v>
      </c>
      <c r="K45" s="125">
        <f>J45+I45+H45</f>
        <v>0</v>
      </c>
      <c r="M45" s="101" t="s">
        <v>49</v>
      </c>
      <c r="N45" s="109">
        <f>IF(OR($N$6="BOL",$N$6="VRIJ"),0,N44*200/10)*(100%+Parameters!$B$91)</f>
        <v>0</v>
      </c>
      <c r="O45" s="110">
        <f>N45/(100%+Parameters!$B$91)</f>
        <v>0</v>
      </c>
      <c r="P45" s="110">
        <f>IF(H48+I48&gt;=O45,0,1)</f>
        <v>0</v>
      </c>
    </row>
    <row r="46" spans="1:18" x14ac:dyDescent="0.25">
      <c r="B46" s="139"/>
      <c r="C46" s="113" t="s">
        <v>50</v>
      </c>
      <c r="D46" s="126">
        <v>0</v>
      </c>
      <c r="E46" s="140">
        <f>(D46*Parameters!$B$92)/60</f>
        <v>0</v>
      </c>
      <c r="F46" s="141"/>
      <c r="G46" s="124" t="str">
        <f>IF($N$11&gt;=4,IF($N$6="BOL",Parameters!C87,Parameters!B87),"-")</f>
        <v>-</v>
      </c>
      <c r="H46" s="125">
        <f t="shared" si="3"/>
        <v>0</v>
      </c>
      <c r="I46" s="126">
        <v>0</v>
      </c>
      <c r="J46" s="126">
        <v>0</v>
      </c>
      <c r="K46" s="125">
        <f>J46+I46+H46</f>
        <v>0</v>
      </c>
      <c r="M46" s="101" t="s">
        <v>51</v>
      </c>
      <c r="N46" s="109">
        <f>IF(OR($N$6="BOL",$N$6="VRIJ"),0,N44*610/10)*(100%)</f>
        <v>0</v>
      </c>
      <c r="O46" s="110">
        <f>N46/(100%)</f>
        <v>0</v>
      </c>
      <c r="P46" s="110">
        <f>IF(J48&gt;=O46,0,1)</f>
        <v>0</v>
      </c>
    </row>
    <row r="47" spans="1:18" x14ac:dyDescent="0.25">
      <c r="B47" s="139"/>
      <c r="C47" s="113" t="s">
        <v>52</v>
      </c>
      <c r="D47" s="126">
        <v>0</v>
      </c>
      <c r="E47" s="140">
        <f>(D47*Parameters!$B$92)/60</f>
        <v>0</v>
      </c>
      <c r="F47" s="141"/>
      <c r="G47" s="124" t="str">
        <f>IF($N$11&gt;=4,IF($N$6="BOL",Parameters!C88,Parameters!B88),"-")</f>
        <v>-</v>
      </c>
      <c r="H47" s="125">
        <f t="shared" si="3"/>
        <v>0</v>
      </c>
      <c r="I47" s="126">
        <v>0</v>
      </c>
      <c r="J47" s="126">
        <v>0</v>
      </c>
      <c r="K47" s="125">
        <f>J47+I47+H47</f>
        <v>0</v>
      </c>
      <c r="M47" s="101" t="s">
        <v>53</v>
      </c>
      <c r="N47" s="109">
        <f>IF($N$6="BOL",N44*1000/10,IF($N$6="BBL",N44*850/10,0))*(100%+Parameters!$B$91)</f>
        <v>0</v>
      </c>
      <c r="O47" s="110">
        <f>N47/(100%+Parameters!$B$91)</f>
        <v>0</v>
      </c>
      <c r="P47" s="110">
        <f>IF(K48&gt;=O47,0,1)</f>
        <v>0</v>
      </c>
    </row>
    <row r="48" spans="1:18" x14ac:dyDescent="0.25">
      <c r="B48" s="100"/>
      <c r="C48" s="100"/>
      <c r="D48" s="88" t="str">
        <f>IF(K48&gt;Parameters!$D$91,"Teveel uren?","")</f>
        <v/>
      </c>
      <c r="E48" s="100"/>
      <c r="F48" s="100"/>
      <c r="G48" s="129" t="str">
        <f>IF($N$11&gt;=4,"Totaal: ","")</f>
        <v/>
      </c>
      <c r="H48" s="130">
        <f>SUM(H44:H47)</f>
        <v>0</v>
      </c>
      <c r="I48" s="130">
        <f>SUM(I44:I47)</f>
        <v>0</v>
      </c>
      <c r="J48" s="131">
        <f>SUM(J44:J47)</f>
        <v>0</v>
      </c>
      <c r="K48" s="131">
        <f>SUM(K44:K47)</f>
        <v>0</v>
      </c>
      <c r="M48" s="94" t="s">
        <v>54</v>
      </c>
      <c r="N48" s="109">
        <f>IF(AND(H48+I48&gt;=N45,J48&gt;=N46,K48&gt;=N47),0,1)</f>
        <v>0</v>
      </c>
      <c r="O48" s="110"/>
      <c r="P48" s="110"/>
    </row>
    <row r="49" spans="1:16" x14ac:dyDescent="0.25">
      <c r="B49" s="100"/>
      <c r="C49" s="100"/>
      <c r="D49" s="100"/>
      <c r="E49" s="100"/>
      <c r="F49" s="100"/>
      <c r="G49" s="113"/>
      <c r="H49" s="100"/>
      <c r="I49" s="100"/>
      <c r="J49" s="100"/>
      <c r="K49" s="100"/>
      <c r="M49" s="94"/>
      <c r="N49" s="109"/>
      <c r="O49" s="110"/>
      <c r="P49" s="110"/>
    </row>
    <row r="50" spans="1:16" x14ac:dyDescent="0.25">
      <c r="A50" s="100"/>
      <c r="B50" s="100"/>
      <c r="C50" s="100"/>
      <c r="D50" s="100"/>
      <c r="E50" s="100"/>
      <c r="F50" s="100"/>
      <c r="G50" s="113"/>
      <c r="H50" s="100"/>
      <c r="I50" s="132" t="s">
        <v>55</v>
      </c>
      <c r="J50" s="132" t="s">
        <v>37</v>
      </c>
      <c r="K50" s="132" t="s">
        <v>38</v>
      </c>
      <c r="M50" s="94"/>
      <c r="N50" s="109"/>
      <c r="O50" s="110"/>
      <c r="P50" s="110"/>
    </row>
    <row r="51" spans="1:16" s="89" customFormat="1" x14ac:dyDescent="0.25">
      <c r="A51" s="100"/>
      <c r="B51" s="133"/>
      <c r="C51" s="133"/>
      <c r="D51" s="100"/>
      <c r="E51" s="100"/>
      <c r="F51" s="133"/>
      <c r="G51" s="100"/>
      <c r="H51" s="129" t="s">
        <v>56</v>
      </c>
      <c r="I51" s="134">
        <f>H48+H42+H36+H30+I48+I42+I36+I30</f>
        <v>462.5</v>
      </c>
      <c r="J51" s="105">
        <f>J48+J42+J36+J30</f>
        <v>1600</v>
      </c>
      <c r="K51" s="134">
        <f>K48+K42+K36+K30</f>
        <v>2062.5</v>
      </c>
      <c r="L51" s="72"/>
      <c r="M51" s="94" t="s">
        <v>57</v>
      </c>
      <c r="N51" s="135">
        <f>N48+N42+N36+N30</f>
        <v>0</v>
      </c>
      <c r="O51" s="69"/>
      <c r="P51" s="69"/>
    </row>
    <row r="52" spans="1:16" s="90" customFormat="1" ht="15" customHeight="1" x14ac:dyDescent="0.25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72"/>
      <c r="M52" s="94"/>
      <c r="N52" s="94"/>
      <c r="O52" s="136"/>
      <c r="P52" s="136"/>
    </row>
    <row r="53" spans="1:16" s="90" customFormat="1" hidden="1" x14ac:dyDescent="0.25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72"/>
      <c r="M53" s="94"/>
      <c r="N53" s="94"/>
      <c r="O53" s="136"/>
      <c r="P53" s="136"/>
    </row>
    <row r="54" spans="1:16" s="90" customFormat="1" hidden="1" x14ac:dyDescent="0.25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72"/>
      <c r="M54" s="94"/>
      <c r="N54" s="94"/>
      <c r="O54" s="136"/>
      <c r="P54" s="136"/>
    </row>
    <row r="55" spans="1:16" s="90" customFormat="1" hidden="1" x14ac:dyDescent="0.25">
      <c r="A55" s="10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72"/>
      <c r="M55" s="94"/>
      <c r="N55" s="94"/>
      <c r="O55" s="136"/>
      <c r="P55" s="136"/>
    </row>
    <row r="56" spans="1:16" s="90" customFormat="1" hidden="1" x14ac:dyDescent="0.25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72"/>
      <c r="M56" s="94"/>
      <c r="N56" s="94"/>
      <c r="O56" s="136"/>
      <c r="P56" s="136"/>
    </row>
    <row r="57" spans="1:16" hidden="1" x14ac:dyDescent="0.25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M57" s="94"/>
      <c r="N57" s="101"/>
      <c r="O57" s="110"/>
      <c r="P57" s="110"/>
    </row>
    <row r="58" spans="1:16" hidden="1" x14ac:dyDescent="0.25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M58" s="94"/>
      <c r="N58" s="101"/>
      <c r="O58" s="110"/>
      <c r="P58" s="110"/>
    </row>
    <row r="59" spans="1:16" hidden="1" x14ac:dyDescent="0.25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M59" s="94"/>
      <c r="N59" s="101"/>
      <c r="O59" s="110"/>
      <c r="P59" s="110"/>
    </row>
    <row r="60" spans="1:16" hidden="1" x14ac:dyDescent="0.25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M60" s="94"/>
      <c r="N60" s="101"/>
      <c r="O60" s="110"/>
      <c r="P60" s="110"/>
    </row>
    <row r="61" spans="1:16" hidden="1" x14ac:dyDescent="0.25">
      <c r="A61" s="100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M61" s="94"/>
      <c r="N61" s="101"/>
      <c r="O61" s="110"/>
      <c r="P61" s="110"/>
    </row>
    <row r="62" spans="1:16" hidden="1" x14ac:dyDescent="0.25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M62" s="94"/>
      <c r="N62" s="101"/>
      <c r="O62" s="110"/>
      <c r="P62" s="110"/>
    </row>
    <row r="63" spans="1:16" hidden="1" x14ac:dyDescent="0.25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M63" s="94"/>
      <c r="N63" s="101"/>
      <c r="O63" s="110"/>
      <c r="P63" s="110"/>
    </row>
    <row r="64" spans="1:16" hidden="1" x14ac:dyDescent="0.25">
      <c r="A64" s="100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M64" s="94"/>
      <c r="N64" s="101"/>
      <c r="O64" s="110"/>
      <c r="P64" s="110"/>
    </row>
    <row r="65" spans="1:16" hidden="1" x14ac:dyDescent="0.25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M65" s="94"/>
      <c r="N65" s="101"/>
      <c r="O65" s="110"/>
      <c r="P65" s="110"/>
    </row>
    <row r="66" spans="1:16" hidden="1" x14ac:dyDescent="0.25">
      <c r="G66" s="100"/>
    </row>
    <row r="67" spans="1:16" hidden="1" x14ac:dyDescent="0.25">
      <c r="G67" s="100"/>
    </row>
    <row r="68" spans="1:16" hidden="1" x14ac:dyDescent="0.25">
      <c r="G68" s="100"/>
    </row>
    <row r="69" spans="1:16" hidden="1" x14ac:dyDescent="0.25">
      <c r="G69" s="100"/>
    </row>
    <row r="70" spans="1:16" hidden="1" x14ac:dyDescent="0.25">
      <c r="G70" s="100"/>
    </row>
    <row r="71" spans="1:16" hidden="1" x14ac:dyDescent="0.25">
      <c r="G71" s="100"/>
    </row>
    <row r="72" spans="1:16" hidden="1" x14ac:dyDescent="0.25">
      <c r="G72" s="100"/>
    </row>
    <row r="73" spans="1:16" hidden="1" x14ac:dyDescent="0.25">
      <c r="G73" s="100"/>
    </row>
    <row r="74" spans="1:16" hidden="1" x14ac:dyDescent="0.25">
      <c r="G74" s="100"/>
    </row>
    <row r="75" spans="1:16" hidden="1" x14ac:dyDescent="0.25">
      <c r="G75" s="100"/>
    </row>
    <row r="76" spans="1:16" hidden="1" x14ac:dyDescent="0.25">
      <c r="G76" s="100"/>
    </row>
    <row r="77" spans="1:16" hidden="1" x14ac:dyDescent="0.25">
      <c r="G77" s="100"/>
    </row>
    <row r="78" spans="1:16" hidden="1" x14ac:dyDescent="0.25">
      <c r="G78" s="100"/>
    </row>
    <row r="79" spans="1:16" hidden="1" x14ac:dyDescent="0.25">
      <c r="G79" s="100"/>
    </row>
    <row r="80" spans="1:16" hidden="1" x14ac:dyDescent="0.25">
      <c r="G80" s="100"/>
    </row>
    <row r="81" spans="7:7" hidden="1" x14ac:dyDescent="0.25">
      <c r="G81" s="100"/>
    </row>
    <row r="82" spans="7:7" hidden="1" x14ac:dyDescent="0.25">
      <c r="G82" s="100"/>
    </row>
    <row r="83" spans="7:7" hidden="1" x14ac:dyDescent="0.25">
      <c r="G83" s="100"/>
    </row>
    <row r="84" spans="7:7" hidden="1" x14ac:dyDescent="0.25">
      <c r="G84" s="100"/>
    </row>
    <row r="85" spans="7:7" hidden="1" x14ac:dyDescent="0.25">
      <c r="G85" s="100"/>
    </row>
    <row r="86" spans="7:7" hidden="1" x14ac:dyDescent="0.25">
      <c r="G86" s="100"/>
    </row>
    <row r="87" spans="7:7" hidden="1" x14ac:dyDescent="0.25">
      <c r="G87" s="100"/>
    </row>
    <row r="88" spans="7:7" hidden="1" x14ac:dyDescent="0.25">
      <c r="G88" s="100"/>
    </row>
    <row r="89" spans="7:7" hidden="1" x14ac:dyDescent="0.25">
      <c r="G89" s="100"/>
    </row>
    <row r="90" spans="7:7" hidden="1" x14ac:dyDescent="0.25">
      <c r="G90" s="100"/>
    </row>
    <row r="91" spans="7:7" hidden="1" x14ac:dyDescent="0.25">
      <c r="G91" s="100"/>
    </row>
    <row r="92" spans="7:7" hidden="1" x14ac:dyDescent="0.25">
      <c r="G92" s="100"/>
    </row>
    <row r="93" spans="7:7" hidden="1" x14ac:dyDescent="0.25">
      <c r="G93" s="100"/>
    </row>
    <row r="94" spans="7:7" hidden="1" x14ac:dyDescent="0.25">
      <c r="G94" s="100"/>
    </row>
    <row r="95" spans="7:7" hidden="1" x14ac:dyDescent="0.25">
      <c r="G95" s="100"/>
    </row>
    <row r="96" spans="7:7" hidden="1" x14ac:dyDescent="0.25">
      <c r="G96" s="100"/>
    </row>
    <row r="97" spans="7:7" hidden="1" x14ac:dyDescent="0.25">
      <c r="G97" s="100"/>
    </row>
    <row r="98" spans="7:7" hidden="1" x14ac:dyDescent="0.25">
      <c r="G98" s="100"/>
    </row>
    <row r="99" spans="7:7" hidden="1" x14ac:dyDescent="0.25">
      <c r="G99" s="100"/>
    </row>
    <row r="100" spans="7:7" hidden="1" x14ac:dyDescent="0.25">
      <c r="G100" s="100"/>
    </row>
    <row r="101" spans="7:7" hidden="1" x14ac:dyDescent="0.25">
      <c r="G101" s="100"/>
    </row>
    <row r="102" spans="7:7" hidden="1" x14ac:dyDescent="0.25">
      <c r="G102" s="100"/>
    </row>
    <row r="103" spans="7:7" hidden="1" x14ac:dyDescent="0.25">
      <c r="G103" s="100"/>
    </row>
    <row r="104" spans="7:7" hidden="1" x14ac:dyDescent="0.25">
      <c r="G104" s="100"/>
    </row>
    <row r="105" spans="7:7" hidden="1" x14ac:dyDescent="0.25">
      <c r="G105" s="100"/>
    </row>
    <row r="106" spans="7:7" hidden="1" x14ac:dyDescent="0.25">
      <c r="G106" s="100"/>
    </row>
    <row r="107" spans="7:7" hidden="1" x14ac:dyDescent="0.25">
      <c r="G107" s="100"/>
    </row>
    <row r="108" spans="7:7" hidden="1" x14ac:dyDescent="0.25">
      <c r="G108" s="100"/>
    </row>
    <row r="109" spans="7:7" hidden="1" x14ac:dyDescent="0.25">
      <c r="G109" s="100"/>
    </row>
    <row r="110" spans="7:7" hidden="1" x14ac:dyDescent="0.25">
      <c r="G110" s="100"/>
    </row>
    <row r="111" spans="7:7" hidden="1" x14ac:dyDescent="0.25">
      <c r="G111" s="100"/>
    </row>
    <row r="112" spans="7:7" hidden="1" x14ac:dyDescent="0.25">
      <c r="G112" s="100"/>
    </row>
    <row r="113" spans="7:7" hidden="1" x14ac:dyDescent="0.25">
      <c r="G113" s="100"/>
    </row>
    <row r="114" spans="7:7" hidden="1" x14ac:dyDescent="0.25">
      <c r="G114" s="100"/>
    </row>
    <row r="115" spans="7:7" hidden="1" x14ac:dyDescent="0.25">
      <c r="G115" s="100"/>
    </row>
    <row r="116" spans="7:7" hidden="1" x14ac:dyDescent="0.25">
      <c r="G116" s="100"/>
    </row>
    <row r="117" spans="7:7" hidden="1" x14ac:dyDescent="0.25">
      <c r="G117" s="100"/>
    </row>
    <row r="118" spans="7:7" hidden="1" x14ac:dyDescent="0.25">
      <c r="G118" s="100"/>
    </row>
    <row r="119" spans="7:7" hidden="1" x14ac:dyDescent="0.25">
      <c r="G119" s="100"/>
    </row>
    <row r="120" spans="7:7" hidden="1" x14ac:dyDescent="0.25">
      <c r="G120" s="100"/>
    </row>
    <row r="121" spans="7:7" hidden="1" x14ac:dyDescent="0.25">
      <c r="G121" s="100"/>
    </row>
    <row r="122" spans="7:7" hidden="1" x14ac:dyDescent="0.25">
      <c r="G122" s="100"/>
    </row>
    <row r="123" spans="7:7" hidden="1" x14ac:dyDescent="0.25">
      <c r="G123" s="100"/>
    </row>
    <row r="124" spans="7:7" hidden="1" x14ac:dyDescent="0.25">
      <c r="G124" s="100"/>
    </row>
    <row r="125" spans="7:7" hidden="1" x14ac:dyDescent="0.25">
      <c r="G125" s="100"/>
    </row>
    <row r="126" spans="7:7" hidden="1" x14ac:dyDescent="0.25">
      <c r="G126" s="100"/>
    </row>
    <row r="127" spans="7:7" hidden="1" x14ac:dyDescent="0.25">
      <c r="G127" s="100"/>
    </row>
    <row r="128" spans="7:7" hidden="1" x14ac:dyDescent="0.25">
      <c r="G128" s="100"/>
    </row>
    <row r="129" spans="7:7" hidden="1" x14ac:dyDescent="0.25">
      <c r="G129" s="100"/>
    </row>
    <row r="130" spans="7:7" hidden="1" x14ac:dyDescent="0.25">
      <c r="G130" s="100"/>
    </row>
    <row r="131" spans="7:7" hidden="1" x14ac:dyDescent="0.25">
      <c r="G131" s="100"/>
    </row>
    <row r="132" spans="7:7" hidden="1" x14ac:dyDescent="0.25">
      <c r="G132" s="100"/>
    </row>
    <row r="133" spans="7:7" hidden="1" x14ac:dyDescent="0.25">
      <c r="G133" s="100"/>
    </row>
    <row r="134" spans="7:7" hidden="1" x14ac:dyDescent="0.25">
      <c r="G134" s="100"/>
    </row>
    <row r="135" spans="7:7" hidden="1" x14ac:dyDescent="0.25">
      <c r="G135" s="100"/>
    </row>
    <row r="136" spans="7:7" hidden="1" x14ac:dyDescent="0.25">
      <c r="G136" s="100"/>
    </row>
    <row r="137" spans="7:7" hidden="1" x14ac:dyDescent="0.25">
      <c r="G137" s="100"/>
    </row>
    <row r="138" spans="7:7" hidden="1" x14ac:dyDescent="0.25">
      <c r="G138" s="100"/>
    </row>
    <row r="139" spans="7:7" hidden="1" x14ac:dyDescent="0.25">
      <c r="G139" s="100"/>
    </row>
    <row r="140" spans="7:7" hidden="1" x14ac:dyDescent="0.25">
      <c r="G140" s="100"/>
    </row>
    <row r="141" spans="7:7" hidden="1" x14ac:dyDescent="0.25">
      <c r="G141" s="100"/>
    </row>
    <row r="142" spans="7:7" hidden="1" x14ac:dyDescent="0.25">
      <c r="G142" s="100"/>
    </row>
    <row r="143" spans="7:7" hidden="1" x14ac:dyDescent="0.25">
      <c r="G143" s="100"/>
    </row>
    <row r="144" spans="7:7" hidden="1" x14ac:dyDescent="0.25">
      <c r="G144" s="100"/>
    </row>
    <row r="145" spans="7:7" hidden="1" x14ac:dyDescent="0.25">
      <c r="G145" s="100"/>
    </row>
    <row r="146" spans="7:7" hidden="1" x14ac:dyDescent="0.25">
      <c r="G146" s="100"/>
    </row>
    <row r="147" spans="7:7" hidden="1" x14ac:dyDescent="0.25">
      <c r="G147" s="100"/>
    </row>
    <row r="148" spans="7:7" hidden="1" x14ac:dyDescent="0.25">
      <c r="G148" s="100"/>
    </row>
    <row r="149" spans="7:7" hidden="1" x14ac:dyDescent="0.25">
      <c r="G149" s="100"/>
    </row>
    <row r="150" spans="7:7" hidden="1" x14ac:dyDescent="0.25">
      <c r="G150" s="100"/>
    </row>
    <row r="151" spans="7:7" hidden="1" x14ac:dyDescent="0.25">
      <c r="G151" s="100"/>
    </row>
    <row r="152" spans="7:7" hidden="1" x14ac:dyDescent="0.25">
      <c r="G152" s="100"/>
    </row>
    <row r="153" spans="7:7" hidden="1" x14ac:dyDescent="0.25">
      <c r="G153" s="100"/>
    </row>
    <row r="154" spans="7:7" hidden="1" x14ac:dyDescent="0.25">
      <c r="G154" s="100"/>
    </row>
    <row r="155" spans="7:7" hidden="1" x14ac:dyDescent="0.25">
      <c r="G155" s="100"/>
    </row>
    <row r="156" spans="7:7" hidden="1" x14ac:dyDescent="0.25">
      <c r="G156" s="100"/>
    </row>
    <row r="157" spans="7:7" hidden="1" x14ac:dyDescent="0.25">
      <c r="G157" s="100"/>
    </row>
    <row r="158" spans="7:7" hidden="1" x14ac:dyDescent="0.25">
      <c r="G158" s="100"/>
    </row>
    <row r="159" spans="7:7" hidden="1" x14ac:dyDescent="0.25">
      <c r="G159" s="100"/>
    </row>
    <row r="160" spans="7:7" hidden="1" x14ac:dyDescent="0.25">
      <c r="G160" s="100"/>
    </row>
    <row r="161" spans="7:7" hidden="1" x14ac:dyDescent="0.25">
      <c r="G161" s="100"/>
    </row>
    <row r="162" spans="7:7" hidden="1" x14ac:dyDescent="0.25">
      <c r="G162" s="100"/>
    </row>
    <row r="163" spans="7:7" hidden="1" x14ac:dyDescent="0.25">
      <c r="G163" s="100"/>
    </row>
    <row r="164" spans="7:7" hidden="1" x14ac:dyDescent="0.25">
      <c r="G164" s="100"/>
    </row>
    <row r="165" spans="7:7" hidden="1" x14ac:dyDescent="0.25">
      <c r="G165" s="100"/>
    </row>
    <row r="166" spans="7:7" hidden="1" x14ac:dyDescent="0.25">
      <c r="G166" s="100"/>
    </row>
    <row r="167" spans="7:7" hidden="1" x14ac:dyDescent="0.25">
      <c r="G167" s="100"/>
    </row>
    <row r="168" spans="7:7" hidden="1" x14ac:dyDescent="0.25">
      <c r="G168" s="100"/>
    </row>
    <row r="169" spans="7:7" hidden="1" x14ac:dyDescent="0.25">
      <c r="G169" s="100"/>
    </row>
    <row r="170" spans="7:7" hidden="1" x14ac:dyDescent="0.25">
      <c r="G170" s="100"/>
    </row>
    <row r="171" spans="7:7" hidden="1" x14ac:dyDescent="0.25">
      <c r="G171" s="100"/>
    </row>
    <row r="172" spans="7:7" hidden="1" x14ac:dyDescent="0.25">
      <c r="G172" s="100"/>
    </row>
    <row r="173" spans="7:7" hidden="1" x14ac:dyDescent="0.25">
      <c r="G173" s="100"/>
    </row>
    <row r="174" spans="7:7" hidden="1" x14ac:dyDescent="0.25">
      <c r="G174" s="100"/>
    </row>
    <row r="175" spans="7:7" hidden="1" x14ac:dyDescent="0.25">
      <c r="G175" s="100"/>
    </row>
    <row r="176" spans="7:7" hidden="1" x14ac:dyDescent="0.25">
      <c r="G176" s="100"/>
    </row>
    <row r="177" spans="7:7" hidden="1" x14ac:dyDescent="0.25">
      <c r="G177" s="100"/>
    </row>
    <row r="178" spans="7:7" hidden="1" x14ac:dyDescent="0.25">
      <c r="G178" s="100"/>
    </row>
    <row r="179" spans="7:7" hidden="1" x14ac:dyDescent="0.25">
      <c r="G179" s="100"/>
    </row>
    <row r="180" spans="7:7" hidden="1" x14ac:dyDescent="0.25">
      <c r="G180" s="100"/>
    </row>
    <row r="181" spans="7:7" hidden="1" x14ac:dyDescent="0.25">
      <c r="G181" s="100"/>
    </row>
    <row r="182" spans="7:7" hidden="1" x14ac:dyDescent="0.25">
      <c r="G182" s="100"/>
    </row>
    <row r="183" spans="7:7" hidden="1" x14ac:dyDescent="0.25">
      <c r="G183" s="100"/>
    </row>
    <row r="184" spans="7:7" hidden="1" x14ac:dyDescent="0.25">
      <c r="G184" s="100"/>
    </row>
    <row r="185" spans="7:7" hidden="1" x14ac:dyDescent="0.25">
      <c r="G185" s="100"/>
    </row>
    <row r="186" spans="7:7" hidden="1" x14ac:dyDescent="0.25">
      <c r="G186" s="100"/>
    </row>
    <row r="187" spans="7:7" hidden="1" x14ac:dyDescent="0.25">
      <c r="G187" s="100"/>
    </row>
    <row r="188" spans="7:7" hidden="1" x14ac:dyDescent="0.25">
      <c r="G188" s="100"/>
    </row>
    <row r="189" spans="7:7" hidden="1" x14ac:dyDescent="0.25">
      <c r="G189" s="100"/>
    </row>
    <row r="190" spans="7:7" hidden="1" x14ac:dyDescent="0.25">
      <c r="G190" s="100"/>
    </row>
    <row r="191" spans="7:7" hidden="1" x14ac:dyDescent="0.25">
      <c r="G191" s="100"/>
    </row>
    <row r="192" spans="7:7" hidden="1" x14ac:dyDescent="0.25">
      <c r="G192" s="100"/>
    </row>
    <row r="193" spans="7:7" hidden="1" x14ac:dyDescent="0.25">
      <c r="G193" s="100"/>
    </row>
    <row r="194" spans="7:7" hidden="1" x14ac:dyDescent="0.25">
      <c r="G194" s="100"/>
    </row>
    <row r="195" spans="7:7" hidden="1" x14ac:dyDescent="0.25">
      <c r="G195" s="100"/>
    </row>
    <row r="196" spans="7:7" hidden="1" x14ac:dyDescent="0.25">
      <c r="G196" s="100"/>
    </row>
    <row r="197" spans="7:7" hidden="1" x14ac:dyDescent="0.25">
      <c r="G197" s="100"/>
    </row>
    <row r="198" spans="7:7" hidden="1" x14ac:dyDescent="0.25">
      <c r="G198" s="100"/>
    </row>
    <row r="199" spans="7:7" hidden="1" x14ac:dyDescent="0.25">
      <c r="G199" s="100"/>
    </row>
    <row r="369" spans="7:7" x14ac:dyDescent="0.25"/>
    <row r="384" spans="7:7" hidden="1" x14ac:dyDescent="0.25">
      <c r="G384" s="100"/>
    </row>
    <row r="385" spans="7:7" hidden="1" x14ac:dyDescent="0.25">
      <c r="G385" s="100"/>
    </row>
  </sheetData>
  <sheetProtection algorithmName="SHA-512" hashValue="W7jvGdZMPtm1IvBMsb6tF5G+oADtD607cp3bWL1v0zmtX1MIjI/dC86gWvgUgF2vqQFVm+IisVZzdx8YonlhUw==" saltValue="07kbdEnu0kek31+M/ttsHw==" spinCount="100000" sheet="1" selectLockedCells="1"/>
  <mergeCells count="47">
    <mergeCell ref="B2:K2"/>
    <mergeCell ref="D6:K6"/>
    <mergeCell ref="B17:F17"/>
    <mergeCell ref="G17:H17"/>
    <mergeCell ref="I17:J17"/>
    <mergeCell ref="D9:E9"/>
    <mergeCell ref="D7:E7"/>
    <mergeCell ref="D8:E8"/>
    <mergeCell ref="H5:I5"/>
    <mergeCell ref="D5:E5"/>
    <mergeCell ref="B18:F18"/>
    <mergeCell ref="G18:H18"/>
    <mergeCell ref="I18:J18"/>
    <mergeCell ref="B19:F19"/>
    <mergeCell ref="G19:H19"/>
    <mergeCell ref="I19:J19"/>
    <mergeCell ref="E25:F25"/>
    <mergeCell ref="B20:F20"/>
    <mergeCell ref="G20:H20"/>
    <mergeCell ref="I20:J20"/>
    <mergeCell ref="B21:F21"/>
    <mergeCell ref="G21:H21"/>
    <mergeCell ref="I21:J21"/>
    <mergeCell ref="B22:F22"/>
    <mergeCell ref="G22:H22"/>
    <mergeCell ref="I22:J22"/>
    <mergeCell ref="D24:I24"/>
    <mergeCell ref="B32:B35"/>
    <mergeCell ref="E32:F32"/>
    <mergeCell ref="E33:F33"/>
    <mergeCell ref="E34:F34"/>
    <mergeCell ref="E35:F35"/>
    <mergeCell ref="B26:B29"/>
    <mergeCell ref="E26:F26"/>
    <mergeCell ref="E27:F27"/>
    <mergeCell ref="E28:F28"/>
    <mergeCell ref="E29:F29"/>
    <mergeCell ref="B44:B47"/>
    <mergeCell ref="E44:F44"/>
    <mergeCell ref="E45:F45"/>
    <mergeCell ref="E46:F46"/>
    <mergeCell ref="E47:F47"/>
    <mergeCell ref="B38:B41"/>
    <mergeCell ref="E38:F38"/>
    <mergeCell ref="E39:F39"/>
    <mergeCell ref="E40:F40"/>
    <mergeCell ref="E41:F41"/>
  </mergeCells>
  <conditionalFormatting sqref="B13:B14">
    <cfRule type="expression" dxfId="43" priority="69">
      <formula>"$Q$7&gt;0"</formula>
    </cfRule>
  </conditionalFormatting>
  <conditionalFormatting sqref="D32:D35 I32:J35">
    <cfRule type="expression" dxfId="42" priority="107">
      <formula>$N$11&lt;2</formula>
    </cfRule>
  </conditionalFormatting>
  <conditionalFormatting sqref="D38:D41 I38:J41">
    <cfRule type="expression" dxfId="41" priority="109">
      <formula>$N$11&lt;3</formula>
    </cfRule>
  </conditionalFormatting>
  <conditionalFormatting sqref="D44:D47 I44:J47">
    <cfRule type="expression" dxfId="40" priority="111">
      <formula>$N$11&lt;4</formula>
    </cfRule>
  </conditionalFormatting>
  <conditionalFormatting sqref="G5">
    <cfRule type="expression" dxfId="39" priority="1">
      <formula>$D$5="Technologie &amp; ICT"</formula>
    </cfRule>
  </conditionalFormatting>
  <conditionalFormatting sqref="H5:I5">
    <cfRule type="expression" dxfId="38" priority="30">
      <formula>$D$5="Technologie &amp; ICT"</formula>
    </cfRule>
  </conditionalFormatting>
  <conditionalFormatting sqref="H30:I30">
    <cfRule type="expression" dxfId="37" priority="52">
      <formula>$H$30+$I$30&lt;$N$27</formula>
    </cfRule>
  </conditionalFormatting>
  <conditionalFormatting sqref="H36:I36">
    <cfRule type="expression" dxfId="36" priority="95">
      <formula>$H$36+$I$36&lt;$N$33</formula>
    </cfRule>
  </conditionalFormatting>
  <conditionalFormatting sqref="H42:I42">
    <cfRule type="expression" dxfId="35" priority="96">
      <formula>$H42+$I$42&lt;$N$39</formula>
    </cfRule>
  </conditionalFormatting>
  <conditionalFormatting sqref="H48:I48">
    <cfRule type="expression" dxfId="34" priority="97">
      <formula>$H$48+$I$48&lt;$N$45</formula>
    </cfRule>
  </conditionalFormatting>
  <conditionalFormatting sqref="I51">
    <cfRule type="expression" dxfId="33" priority="8">
      <formula>$K$19="ja"</formula>
    </cfRule>
    <cfRule type="expression" dxfId="32" priority="9">
      <formula>AND($G$19&lt;&gt;"-",$I$51&lt;$G$19)</formula>
    </cfRule>
    <cfRule type="expression" dxfId="31" priority="10">
      <formula>AND($I$19&lt;&gt;"-",$I$51&lt;$I$19)</formula>
    </cfRule>
  </conditionalFormatting>
  <conditionalFormatting sqref="J30">
    <cfRule type="expression" dxfId="30" priority="17">
      <formula>$J$30&lt;$N$28</formula>
    </cfRule>
  </conditionalFormatting>
  <conditionalFormatting sqref="J36">
    <cfRule type="expression" dxfId="29" priority="98">
      <formula>$J$36&lt;$N$34</formula>
    </cfRule>
  </conditionalFormatting>
  <conditionalFormatting sqref="J42">
    <cfRule type="expression" dxfId="28" priority="99">
      <formula>$J$42&lt;$N$40</formula>
    </cfRule>
  </conditionalFormatting>
  <conditionalFormatting sqref="J48">
    <cfRule type="expression" dxfId="27" priority="100">
      <formula>$J$48&lt;$N$46</formula>
    </cfRule>
  </conditionalFormatting>
  <conditionalFormatting sqref="J51">
    <cfRule type="expression" dxfId="26" priority="5">
      <formula>$K$20="ja"</formula>
    </cfRule>
    <cfRule type="expression" dxfId="25" priority="7">
      <formula>AND($I$20&lt;&gt;"-",$J$51&lt;$I$20)</formula>
    </cfRule>
    <cfRule type="expression" dxfId="24" priority="6">
      <formula>AND($G$20&lt;&gt;"-",$J$51&lt;$G$20)</formula>
    </cfRule>
  </conditionalFormatting>
  <conditionalFormatting sqref="K13">
    <cfRule type="expression" dxfId="23" priority="71">
      <formula>$K$15=0</formula>
    </cfRule>
    <cfRule type="expression" dxfId="22" priority="72">
      <formula>$K$15&gt;=1</formula>
    </cfRule>
  </conditionalFormatting>
  <conditionalFormatting sqref="K14">
    <cfRule type="expression" dxfId="21" priority="67">
      <formula>$K$14="ja"</formula>
    </cfRule>
    <cfRule type="expression" dxfId="20" priority="68">
      <formula>$K$14="Nee"</formula>
    </cfRule>
    <cfRule type="containsBlanks" priority="53">
      <formula>LEN(TRIM(K14))=0</formula>
    </cfRule>
  </conditionalFormatting>
  <conditionalFormatting sqref="K16">
    <cfRule type="expression" dxfId="19" priority="73">
      <formula>"$Q$7&gt;0"</formula>
    </cfRule>
  </conditionalFormatting>
  <conditionalFormatting sqref="K18">
    <cfRule type="expression" dxfId="18" priority="62">
      <formula>$K$51&lt;$I$18</formula>
    </cfRule>
    <cfRule type="expression" dxfId="17" priority="61">
      <formula>$K$51&lt;$G$18</formula>
    </cfRule>
    <cfRule type="expression" dxfId="16" priority="13">
      <formula>$K$18="ja"</formula>
    </cfRule>
  </conditionalFormatting>
  <conditionalFormatting sqref="K19">
    <cfRule type="expression" dxfId="15" priority="105">
      <formula>AND($G$19&lt;&gt;"-",$I$51&lt;$G$19)</formula>
    </cfRule>
    <cfRule type="expression" dxfId="14" priority="106">
      <formula>AND($I$19&lt;&gt;"-",$I$51&lt;$I$19)</formula>
    </cfRule>
    <cfRule type="expression" dxfId="13" priority="104">
      <formula>$K$19="ja"</formula>
    </cfRule>
  </conditionalFormatting>
  <conditionalFormatting sqref="K20">
    <cfRule type="expression" dxfId="12" priority="58">
      <formula>AND($I$20&lt;&gt;"-",$J$51&lt;$I$20)</formula>
    </cfRule>
    <cfRule type="expression" dxfId="11" priority="57">
      <formula>AND($G$20&lt;&gt;"-",$J$51&lt;$G$20)</formula>
    </cfRule>
    <cfRule type="expression" dxfId="10" priority="12">
      <formula>$K$20="ja"</formula>
    </cfRule>
  </conditionalFormatting>
  <conditionalFormatting sqref="K22">
    <cfRule type="expression" dxfId="9" priority="11">
      <formula>$K$22="ja"</formula>
    </cfRule>
    <cfRule type="expression" dxfId="8" priority="56">
      <formula>AND($I$22&lt;&gt;"-",$H$30+$I$30&lt;$I$22)</formula>
    </cfRule>
    <cfRule type="expression" dxfId="7" priority="55">
      <formula>AND($G$22&lt;&gt;"-",$H$30+$I$30&lt;$G$22)</formula>
    </cfRule>
  </conditionalFormatting>
  <conditionalFormatting sqref="K30">
    <cfRule type="expression" dxfId="6" priority="89">
      <formula>$K$30&lt;$N$29</formula>
    </cfRule>
  </conditionalFormatting>
  <conditionalFormatting sqref="K36">
    <cfRule type="expression" dxfId="5" priority="92">
      <formula>K36&lt;N35</formula>
    </cfRule>
  </conditionalFormatting>
  <conditionalFormatting sqref="K42">
    <cfRule type="expression" dxfId="4" priority="16">
      <formula>$K$42&lt;$N$41</formula>
    </cfRule>
  </conditionalFormatting>
  <conditionalFormatting sqref="K48">
    <cfRule type="expression" dxfId="3" priority="15">
      <formula>$K$48&lt;$N$47</formula>
    </cfRule>
  </conditionalFormatting>
  <conditionalFormatting sqref="K51">
    <cfRule type="expression" dxfId="2" priority="2">
      <formula>$K$18="ja"</formula>
    </cfRule>
    <cfRule type="expression" dxfId="1" priority="3">
      <formula>$K$51&lt;$G$18</formula>
    </cfRule>
    <cfRule type="expression" dxfId="0" priority="4">
      <formula>$K$51&lt;$I$18</formula>
    </cfRule>
  </conditionalFormatting>
  <dataValidations count="3">
    <dataValidation type="list" allowBlank="1" showInputMessage="1" showErrorMessage="1" sqref="D8:E8" xr:uid="{00000000-0002-0000-0000-000000000000}">
      <formula1>cohorten</formula1>
    </dataValidation>
    <dataValidation type="list" allowBlank="1" showInputMessage="1" showErrorMessage="1" sqref="D6:K6" xr:uid="{00000000-0002-0000-0000-000001000000}">
      <formula1>IF($N$5="",INDIRECT($N$4),INDIRECT($N$5))</formula1>
    </dataValidation>
    <dataValidation type="list" allowBlank="1" showInputMessage="1" showErrorMessage="1" sqref="D9:E9" xr:uid="{00000000-0002-0000-0000-000002000000}">
      <formula1>IF($N$6="","",INDIRECT($N$6))</formula1>
    </dataValidation>
  </dataValidations>
  <pageMargins left="0.7" right="0.7" top="0.75" bottom="0.75" header="0.3" footer="0.3"/>
  <pageSetup paperSize="9" orientation="portrait" horizontalDpi="4294967293" r:id="rId1"/>
  <ignoredErrors>
    <ignoredError sqref="H44 H45:H46 K44:K46 N44" evalError="1"/>
    <ignoredError sqref="I20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0" id="{FC1E9793-D0A9-434B-AC54-4B57220857AF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K15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Parameters!$A$97:$A$101</xm:f>
          </x14:formula1>
          <xm:sqref>D5:E5</xm:sqref>
        </x14:dataValidation>
        <x14:dataValidation type="list" allowBlank="1" showInputMessage="1" showErrorMessage="1" xr:uid="{00000000-0002-0000-0000-000004000000}">
          <x14:formula1>
            <xm:f>Parameters!$A$110:$A$115</xm:f>
          </x14:formula1>
          <xm:sqref>H5:I5</xm:sqref>
        </x14:dataValidation>
        <x14:dataValidation type="list" allowBlank="1" showInputMessage="1" showErrorMessage="1" xr:uid="{00000000-0002-0000-0000-000005000000}">
          <x14:formula1>
            <xm:f>Parameters!$A$81:$A$82</xm:f>
          </x14:formula1>
          <xm:sqref>D7:E7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/>
  <dimension ref="B2:F32"/>
  <sheetViews>
    <sheetView showGridLines="0" workbookViewId="0">
      <selection activeCell="D18" sqref="D18"/>
    </sheetView>
  </sheetViews>
  <sheetFormatPr defaultColWidth="8.85546875" defaultRowHeight="17.100000000000001" customHeight="1" x14ac:dyDescent="0.25"/>
  <cols>
    <col min="1" max="1" width="3.42578125" customWidth="1"/>
    <col min="2" max="6" width="15.7109375" customWidth="1"/>
  </cols>
  <sheetData>
    <row r="2" spans="2:6" ht="27.75" customHeight="1" x14ac:dyDescent="0.25">
      <c r="B2" s="48" t="s">
        <v>58</v>
      </c>
      <c r="C2" s="170" t="str">
        <f>RIGHT(Programmering!$D$6,LEN(Programmering!$D$6)-8)</f>
        <v>Commercieel medewerker</v>
      </c>
      <c r="D2" s="170"/>
      <c r="E2" s="170"/>
      <c r="F2" s="171"/>
    </row>
    <row r="3" spans="2:6" ht="17.100000000000001" customHeight="1" x14ac:dyDescent="0.25">
      <c r="B3" s="47" t="s">
        <v>59</v>
      </c>
      <c r="C3" t="str">
        <f>LEFT(Programmering!$D$6,5)</f>
        <v>25874</v>
      </c>
      <c r="D3" s="2"/>
      <c r="E3" s="12" t="s">
        <v>60</v>
      </c>
      <c r="F3" s="31" t="str">
        <f>Programmering!$D$8</f>
        <v>2025/2026</v>
      </c>
    </row>
    <row r="4" spans="2:6" ht="17.100000000000001" customHeight="1" x14ac:dyDescent="0.25">
      <c r="B4" s="47" t="s">
        <v>16</v>
      </c>
      <c r="C4" s="2">
        <f>Programmering!$N$9</f>
        <v>3</v>
      </c>
      <c r="E4" s="12" t="s">
        <v>7</v>
      </c>
      <c r="F4" s="31" t="str">
        <f>Programmering!$D$7</f>
        <v>BBL</v>
      </c>
    </row>
    <row r="5" spans="2:6" ht="17.100000000000001" customHeight="1" x14ac:dyDescent="0.25">
      <c r="B5" s="47" t="s">
        <v>61</v>
      </c>
      <c r="C5" s="37">
        <f>Programmering!$D$10</f>
        <v>45870</v>
      </c>
      <c r="E5" s="12" t="s">
        <v>62</v>
      </c>
      <c r="F5" s="46">
        <f>Programmering!$D$11</f>
        <v>46234</v>
      </c>
    </row>
    <row r="6" spans="2:6" ht="17.100000000000001" customHeight="1" x14ac:dyDescent="0.25">
      <c r="B6" s="35"/>
      <c r="C6" s="41"/>
      <c r="D6" s="41"/>
      <c r="E6" s="41"/>
      <c r="F6" s="30"/>
    </row>
    <row r="7" spans="2:6" ht="17.100000000000001" customHeight="1" x14ac:dyDescent="0.25">
      <c r="B7" s="36"/>
      <c r="C7" s="49" t="s">
        <v>63</v>
      </c>
      <c r="D7" s="50" t="s">
        <v>64</v>
      </c>
      <c r="E7" s="50" t="s">
        <v>37</v>
      </c>
      <c r="F7" s="50" t="s">
        <v>38</v>
      </c>
    </row>
    <row r="8" spans="2:6" ht="17.100000000000001" customHeight="1" x14ac:dyDescent="0.25">
      <c r="B8" s="167" t="str">
        <f>Programmering!B26</f>
        <v>Leerjaar 1</v>
      </c>
      <c r="C8" s="28">
        <v>1</v>
      </c>
      <c r="D8" s="29">
        <f>Programmering!H26+Programmering!I26</f>
        <v>60</v>
      </c>
      <c r="E8" s="28">
        <f>Programmering!J26</f>
        <v>200</v>
      </c>
      <c r="F8" s="28">
        <f>Programmering!K26</f>
        <v>260</v>
      </c>
    </row>
    <row r="9" spans="2:6" ht="17.100000000000001" customHeight="1" x14ac:dyDescent="0.25">
      <c r="B9" s="168"/>
      <c r="C9" s="28">
        <v>2</v>
      </c>
      <c r="D9" s="29">
        <f>Programmering!H27+Programmering!I27</f>
        <v>60</v>
      </c>
      <c r="E9" s="28">
        <f>Programmering!J27</f>
        <v>200</v>
      </c>
      <c r="F9" s="28">
        <f>Programmering!K27</f>
        <v>260</v>
      </c>
    </row>
    <row r="10" spans="2:6" ht="17.100000000000001" customHeight="1" x14ac:dyDescent="0.25">
      <c r="B10" s="168"/>
      <c r="C10" s="28">
        <v>3</v>
      </c>
      <c r="D10" s="29">
        <f>Programmering!H28+Programmering!I28</f>
        <v>60</v>
      </c>
      <c r="E10" s="28">
        <f>Programmering!J28</f>
        <v>200</v>
      </c>
      <c r="F10" s="28">
        <f>Programmering!K28</f>
        <v>260</v>
      </c>
    </row>
    <row r="11" spans="2:6" ht="17.100000000000001" customHeight="1" x14ac:dyDescent="0.25">
      <c r="B11" s="169"/>
      <c r="C11" s="28">
        <v>4</v>
      </c>
      <c r="D11" s="29">
        <f>Programmering!H29+Programmering!I29</f>
        <v>53.333333333333336</v>
      </c>
      <c r="E11" s="28">
        <f>Programmering!J29</f>
        <v>200</v>
      </c>
      <c r="F11" s="28">
        <f>Programmering!K29</f>
        <v>253.33333333333334</v>
      </c>
    </row>
    <row r="12" spans="2:6" ht="17.25" customHeight="1" x14ac:dyDescent="0.25">
      <c r="B12" s="163" t="s">
        <v>65</v>
      </c>
      <c r="C12" s="164"/>
      <c r="D12" s="32">
        <f>Programmering!H30+Programmering!I30</f>
        <v>233.33333333333334</v>
      </c>
      <c r="E12" s="33">
        <f>Programmering!J30</f>
        <v>800</v>
      </c>
      <c r="F12" s="33">
        <f>Programmering!K30</f>
        <v>1033.3333333333333</v>
      </c>
    </row>
    <row r="13" spans="2:6" ht="17.100000000000001" customHeight="1" x14ac:dyDescent="0.25">
      <c r="B13" s="38"/>
      <c r="D13" s="34"/>
      <c r="E13" s="34"/>
      <c r="F13" s="42"/>
    </row>
    <row r="14" spans="2:6" ht="17.100000000000001" customHeight="1" x14ac:dyDescent="0.25">
      <c r="B14" s="167" t="str">
        <f>Programmering!B32</f>
        <v>Leerjaar 2</v>
      </c>
      <c r="C14" s="28">
        <v>1</v>
      </c>
      <c r="D14" s="29">
        <f>Programmering!H32+Programmering!I32</f>
        <v>60</v>
      </c>
      <c r="E14" s="29">
        <f>Programmering!J32</f>
        <v>200</v>
      </c>
      <c r="F14" s="29">
        <f>Programmering!K32</f>
        <v>260</v>
      </c>
    </row>
    <row r="15" spans="2:6" ht="17.100000000000001" customHeight="1" x14ac:dyDescent="0.25">
      <c r="B15" s="168"/>
      <c r="C15" s="28">
        <v>2</v>
      </c>
      <c r="D15" s="29">
        <f>Programmering!H33+Programmering!I33</f>
        <v>60</v>
      </c>
      <c r="E15" s="29">
        <f>Programmering!J33</f>
        <v>200</v>
      </c>
      <c r="F15" s="29">
        <f>Programmering!K33</f>
        <v>260</v>
      </c>
    </row>
    <row r="16" spans="2:6" ht="17.100000000000001" customHeight="1" x14ac:dyDescent="0.25">
      <c r="B16" s="168"/>
      <c r="C16" s="28">
        <v>3</v>
      </c>
      <c r="D16" s="29">
        <f>Programmering!H34+Programmering!I34</f>
        <v>82.5</v>
      </c>
      <c r="E16" s="29">
        <f>Programmering!J34</f>
        <v>200</v>
      </c>
      <c r="F16" s="29">
        <f>Programmering!K34</f>
        <v>282.5</v>
      </c>
    </row>
    <row r="17" spans="2:6" ht="17.100000000000001" customHeight="1" x14ac:dyDescent="0.25">
      <c r="B17" s="169"/>
      <c r="C17" s="28">
        <v>4</v>
      </c>
      <c r="D17" s="29">
        <f>Programmering!H35+Programmering!I35</f>
        <v>26.666666666666668</v>
      </c>
      <c r="E17" s="29">
        <f>Programmering!J35</f>
        <v>200</v>
      </c>
      <c r="F17" s="29">
        <f>Programmering!K35</f>
        <v>226.66666666666666</v>
      </c>
    </row>
    <row r="18" spans="2:6" ht="17.100000000000001" customHeight="1" x14ac:dyDescent="0.25">
      <c r="B18" s="163" t="str">
        <f>IF(Programmering!G36="","","Totaal ")</f>
        <v xml:space="preserve">Totaal </v>
      </c>
      <c r="C18" s="164"/>
      <c r="D18" s="32">
        <f>Programmering!H36+Programmering!I36</f>
        <v>229.16666666666666</v>
      </c>
      <c r="E18" s="32">
        <f>Programmering!J36</f>
        <v>800</v>
      </c>
      <c r="F18" s="32">
        <f>Programmering!K36</f>
        <v>1029.1666666666667</v>
      </c>
    </row>
    <row r="19" spans="2:6" ht="17.100000000000001" customHeight="1" x14ac:dyDescent="0.25">
      <c r="B19" s="39"/>
      <c r="C19" s="40"/>
      <c r="D19" s="43"/>
      <c r="E19" s="43"/>
      <c r="F19" s="29"/>
    </row>
    <row r="20" spans="2:6" ht="17.100000000000001" customHeight="1" x14ac:dyDescent="0.25">
      <c r="B20" s="168" t="str">
        <f>Programmering!B38</f>
        <v/>
      </c>
      <c r="C20" s="44">
        <v>1</v>
      </c>
      <c r="D20" s="45">
        <f>Programmering!H38+Programmering!I38</f>
        <v>0</v>
      </c>
      <c r="E20" s="45">
        <f>Programmering!J38</f>
        <v>0</v>
      </c>
      <c r="F20" s="45">
        <f>Programmering!K38</f>
        <v>0</v>
      </c>
    </row>
    <row r="21" spans="2:6" ht="17.100000000000001" customHeight="1" x14ac:dyDescent="0.25">
      <c r="B21" s="168"/>
      <c r="C21" s="28">
        <v>2</v>
      </c>
      <c r="D21" s="29">
        <f>Programmering!H39+Programmering!I39</f>
        <v>0</v>
      </c>
      <c r="E21" s="29">
        <f>Programmering!J39</f>
        <v>0</v>
      </c>
      <c r="F21" s="29">
        <f>Programmering!K39</f>
        <v>0</v>
      </c>
    </row>
    <row r="22" spans="2:6" ht="17.100000000000001" customHeight="1" x14ac:dyDescent="0.25">
      <c r="B22" s="168"/>
      <c r="C22" s="28">
        <v>3</v>
      </c>
      <c r="D22" s="29">
        <f>Programmering!H40+Programmering!I40</f>
        <v>0</v>
      </c>
      <c r="E22" s="29">
        <f>Programmering!J40</f>
        <v>0</v>
      </c>
      <c r="F22" s="29">
        <f>Programmering!K40</f>
        <v>0</v>
      </c>
    </row>
    <row r="23" spans="2:6" ht="17.100000000000001" customHeight="1" x14ac:dyDescent="0.25">
      <c r="B23" s="169"/>
      <c r="C23" s="28">
        <v>4</v>
      </c>
      <c r="D23" s="29">
        <f>Programmering!H41+Programmering!I41</f>
        <v>0</v>
      </c>
      <c r="E23" s="29">
        <f>Programmering!J41</f>
        <v>0</v>
      </c>
      <c r="F23" s="29">
        <f>Programmering!K41</f>
        <v>0</v>
      </c>
    </row>
    <row r="24" spans="2:6" ht="17.100000000000001" customHeight="1" x14ac:dyDescent="0.25">
      <c r="B24" s="163" t="str">
        <f>IF(Programmering!G42="","","Totaal ")</f>
        <v/>
      </c>
      <c r="C24" s="164"/>
      <c r="D24" s="32">
        <f>Programmering!H42+Programmering!I42</f>
        <v>0</v>
      </c>
      <c r="E24" s="32">
        <f>Programmering!J42</f>
        <v>0</v>
      </c>
      <c r="F24" s="32">
        <f>Programmering!K42</f>
        <v>0</v>
      </c>
    </row>
    <row r="25" spans="2:6" ht="17.100000000000001" customHeight="1" x14ac:dyDescent="0.25">
      <c r="B25" s="38"/>
      <c r="D25" s="43"/>
      <c r="E25" s="43"/>
      <c r="F25" s="29"/>
    </row>
    <row r="26" spans="2:6" ht="17.100000000000001" customHeight="1" x14ac:dyDescent="0.25">
      <c r="B26" s="167" t="str">
        <f>Programmering!B44</f>
        <v/>
      </c>
      <c r="C26" s="28">
        <v>1</v>
      </c>
      <c r="D26" s="45">
        <f>Programmering!H44+Programmering!I44</f>
        <v>0</v>
      </c>
      <c r="E26" s="45">
        <f>Programmering!J44</f>
        <v>0</v>
      </c>
      <c r="F26" s="45">
        <f>Programmering!K44</f>
        <v>0</v>
      </c>
    </row>
    <row r="27" spans="2:6" ht="17.100000000000001" customHeight="1" x14ac:dyDescent="0.25">
      <c r="B27" s="168"/>
      <c r="C27" s="28">
        <v>2</v>
      </c>
      <c r="D27" s="29">
        <f>Programmering!H45+Programmering!I45</f>
        <v>0</v>
      </c>
      <c r="E27" s="29">
        <f>Programmering!J45</f>
        <v>0</v>
      </c>
      <c r="F27" s="29">
        <f>Programmering!K45</f>
        <v>0</v>
      </c>
    </row>
    <row r="28" spans="2:6" ht="17.100000000000001" customHeight="1" x14ac:dyDescent="0.25">
      <c r="B28" s="168"/>
      <c r="C28" s="28">
        <v>3</v>
      </c>
      <c r="D28" s="29">
        <f>Programmering!H46+Programmering!I46</f>
        <v>0</v>
      </c>
      <c r="E28" s="29">
        <f>Programmering!J46</f>
        <v>0</v>
      </c>
      <c r="F28" s="29">
        <f>Programmering!K46</f>
        <v>0</v>
      </c>
    </row>
    <row r="29" spans="2:6" ht="17.100000000000001" customHeight="1" x14ac:dyDescent="0.25">
      <c r="B29" s="169"/>
      <c r="C29" s="28">
        <v>4</v>
      </c>
      <c r="D29" s="29">
        <f>Programmering!H47+Programmering!I47</f>
        <v>0</v>
      </c>
      <c r="E29" s="29">
        <f>Programmering!J47</f>
        <v>0</v>
      </c>
      <c r="F29" s="29">
        <f>Programmering!K47</f>
        <v>0</v>
      </c>
    </row>
    <row r="30" spans="2:6" ht="17.100000000000001" customHeight="1" x14ac:dyDescent="0.25">
      <c r="B30" s="163" t="str">
        <f>IF(Programmering!G48="","","Totaal ")</f>
        <v/>
      </c>
      <c r="C30" s="164"/>
      <c r="D30" s="32">
        <f>Programmering!H48+Programmering!I48</f>
        <v>0</v>
      </c>
      <c r="E30" s="32">
        <f>Programmering!J48</f>
        <v>0</v>
      </c>
      <c r="F30" s="32">
        <f>Programmering!K48</f>
        <v>0</v>
      </c>
    </row>
    <row r="31" spans="2:6" ht="17.100000000000001" customHeight="1" x14ac:dyDescent="0.25">
      <c r="B31" s="38"/>
      <c r="D31" s="43"/>
      <c r="E31" s="43"/>
      <c r="F31" s="29"/>
    </row>
    <row r="32" spans="2:6" ht="17.100000000000001" customHeight="1" x14ac:dyDescent="0.25">
      <c r="B32" s="165" t="s">
        <v>66</v>
      </c>
      <c r="C32" s="166"/>
      <c r="D32" s="51">
        <f>Programmering!I51</f>
        <v>462.5</v>
      </c>
      <c r="E32" s="52">
        <f>Programmering!J51</f>
        <v>1600</v>
      </c>
      <c r="F32" s="52">
        <f>Programmering!K51</f>
        <v>2062.5</v>
      </c>
    </row>
  </sheetData>
  <sheetProtection algorithmName="SHA-512" hashValue="NHaUBObz0N/b/Yj4jsQ+uv2EX6Low0d6ximXXAcxkTIsZj5rIfigBL3JS04BCqhagKo8azFQQkquDxdnJRJlkQ==" saltValue="akBiry1BO1eOA6+npU96dA==" spinCount="100000" sheet="1" objects="1" scenarios="1"/>
  <mergeCells count="10">
    <mergeCell ref="B8:B11"/>
    <mergeCell ref="B12:C12"/>
    <mergeCell ref="B18:C18"/>
    <mergeCell ref="C2:F2"/>
    <mergeCell ref="B24:C24"/>
    <mergeCell ref="B30:C30"/>
    <mergeCell ref="B32:C32"/>
    <mergeCell ref="B14:B17"/>
    <mergeCell ref="B20:B23"/>
    <mergeCell ref="B26:B29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5"/>
  <dimension ref="B1:F14"/>
  <sheetViews>
    <sheetView showGridLines="0" zoomScaleNormal="100" zoomScaleSheetLayoutView="110" workbookViewId="0">
      <selection activeCell="C5" sqref="C5"/>
    </sheetView>
  </sheetViews>
  <sheetFormatPr defaultColWidth="9.28515625" defaultRowHeight="15" customHeight="1" x14ac:dyDescent="0.25"/>
  <cols>
    <col min="1" max="1" width="4" customWidth="1"/>
    <col min="2" max="2" width="5.140625" style="2" customWidth="1"/>
    <col min="3" max="3" width="9.7109375" customWidth="1"/>
    <col min="4" max="4" width="11.42578125" style="1" customWidth="1"/>
    <col min="5" max="5" width="10.28515625" style="1" customWidth="1"/>
    <col min="6" max="6" width="5.42578125" style="1" customWidth="1"/>
  </cols>
  <sheetData>
    <row r="1" spans="2:6" ht="18" customHeight="1" x14ac:dyDescent="0.25"/>
    <row r="2" spans="2:6" ht="15" customHeight="1" x14ac:dyDescent="0.25">
      <c r="B2" s="54"/>
      <c r="C2" s="55"/>
      <c r="D2" s="55"/>
      <c r="E2" s="55"/>
      <c r="F2" s="54"/>
    </row>
    <row r="3" spans="2:6" ht="15" customHeight="1" x14ac:dyDescent="0.25">
      <c r="B3" s="53"/>
      <c r="C3" s="60" t="s">
        <v>67</v>
      </c>
      <c r="D3" s="55"/>
      <c r="E3" s="55"/>
      <c r="F3" s="55"/>
    </row>
    <row r="4" spans="2:6" ht="30" customHeight="1" x14ac:dyDescent="0.25">
      <c r="B4" s="53"/>
      <c r="C4" s="56" t="s">
        <v>68</v>
      </c>
      <c r="D4" s="56" t="s">
        <v>69</v>
      </c>
      <c r="E4" s="55"/>
      <c r="F4" s="55"/>
    </row>
    <row r="5" spans="2:6" ht="15" customHeight="1" x14ac:dyDescent="0.25">
      <c r="B5" s="53"/>
      <c r="C5" s="58">
        <v>0</v>
      </c>
      <c r="D5" s="57">
        <f>C5*Parameters!$B$92/60</f>
        <v>0</v>
      </c>
      <c r="E5" s="55"/>
      <c r="F5" s="55"/>
    </row>
    <row r="6" spans="2:6" ht="15" customHeight="1" x14ac:dyDescent="0.25">
      <c r="B6" s="53"/>
      <c r="C6" s="59"/>
      <c r="D6" s="59"/>
      <c r="E6" s="55"/>
      <c r="F6" s="55"/>
    </row>
    <row r="7" spans="2:6" ht="15" customHeight="1" x14ac:dyDescent="0.25">
      <c r="B7" s="53"/>
      <c r="C7" s="61" t="s">
        <v>70</v>
      </c>
      <c r="D7" s="55"/>
      <c r="E7" s="55"/>
      <c r="F7" s="55"/>
    </row>
    <row r="8" spans="2:6" ht="30.75" customHeight="1" x14ac:dyDescent="0.25">
      <c r="B8" s="53"/>
      <c r="C8" s="56" t="s">
        <v>68</v>
      </c>
      <c r="D8" s="56" t="s">
        <v>41</v>
      </c>
      <c r="E8" s="56" t="s">
        <v>69</v>
      </c>
      <c r="F8" s="55"/>
    </row>
    <row r="9" spans="2:6" ht="15" customHeight="1" x14ac:dyDescent="0.25">
      <c r="B9" s="53"/>
      <c r="C9" s="58">
        <v>0</v>
      </c>
      <c r="D9" s="58">
        <v>0</v>
      </c>
      <c r="E9" s="57">
        <f>C9*Parameters!$B$92/60*D9</f>
        <v>0</v>
      </c>
      <c r="F9" s="55"/>
    </row>
    <row r="10" spans="2:6" ht="15" customHeight="1" x14ac:dyDescent="0.25">
      <c r="B10" s="53"/>
      <c r="C10" s="58">
        <v>0</v>
      </c>
      <c r="D10" s="58">
        <v>0</v>
      </c>
      <c r="E10" s="57">
        <f>C10*Parameters!$B$92/60*D10</f>
        <v>0</v>
      </c>
      <c r="F10" s="55"/>
    </row>
    <row r="11" spans="2:6" ht="15" customHeight="1" x14ac:dyDescent="0.25">
      <c r="B11" s="53"/>
      <c r="C11" s="59"/>
      <c r="D11" s="68" t="s">
        <v>71</v>
      </c>
      <c r="E11" s="57">
        <f>SUM(E9:E10)</f>
        <v>0</v>
      </c>
      <c r="F11" s="55"/>
    </row>
    <row r="12" spans="2:6" ht="15" customHeight="1" x14ac:dyDescent="0.25">
      <c r="B12" s="53"/>
      <c r="C12" s="59"/>
      <c r="D12" s="59"/>
      <c r="E12" s="59"/>
      <c r="F12" s="55"/>
    </row>
    <row r="13" spans="2:6" ht="30.75" customHeight="1" x14ac:dyDescent="0.25">
      <c r="B13" s="53"/>
      <c r="C13" s="172" t="s">
        <v>72</v>
      </c>
      <c r="D13" s="172"/>
      <c r="E13" s="172"/>
      <c r="F13" s="55"/>
    </row>
    <row r="14" spans="2:6" ht="15" customHeight="1" x14ac:dyDescent="0.25">
      <c r="B14" s="53"/>
      <c r="C14" s="54"/>
      <c r="D14" s="55"/>
      <c r="E14" s="55"/>
      <c r="F14" s="55"/>
    </row>
  </sheetData>
  <sheetProtection algorithmName="SHA-512" hashValue="8mh5/ct+S0PwKl603FyX4tGjTqC9qPpplsAgp3p/e/39ZVyh7cgOp7oq5lIzKWg7nh+Nck7rKgWNCEk/AZxhWw==" saltValue="YSvK0EUQVcSq+wYRML+krg==" spinCount="100000" sheet="1" selectLockedCells="1"/>
  <mergeCells count="1">
    <mergeCell ref="C13:E13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/>
  <dimension ref="A1:B17"/>
  <sheetViews>
    <sheetView workbookViewId="0">
      <selection activeCell="B27" sqref="B27"/>
    </sheetView>
  </sheetViews>
  <sheetFormatPr defaultColWidth="8.85546875" defaultRowHeight="17.100000000000001" customHeight="1" x14ac:dyDescent="0.25"/>
  <cols>
    <col min="1" max="1" width="3.85546875" customWidth="1"/>
    <col min="2" max="2" width="104.28515625" bestFit="1" customWidth="1"/>
  </cols>
  <sheetData>
    <row r="1" spans="1:2" s="65" customFormat="1" ht="18" customHeight="1" x14ac:dyDescent="0.3">
      <c r="A1" s="173" t="s">
        <v>73</v>
      </c>
      <c r="B1" s="173"/>
    </row>
    <row r="2" spans="1:2" ht="17.100000000000001" customHeight="1" x14ac:dyDescent="0.3">
      <c r="A2" s="64"/>
      <c r="B2" s="66"/>
    </row>
    <row r="3" spans="1:2" ht="17.100000000000001" customHeight="1" x14ac:dyDescent="0.25">
      <c r="A3" t="s">
        <v>74</v>
      </c>
      <c r="B3" t="s">
        <v>75</v>
      </c>
    </row>
    <row r="4" spans="1:2" ht="15" x14ac:dyDescent="0.25">
      <c r="A4" t="s">
        <v>76</v>
      </c>
      <c r="B4" t="s">
        <v>77</v>
      </c>
    </row>
    <row r="5" spans="1:2" ht="17.100000000000001" customHeight="1" x14ac:dyDescent="0.25">
      <c r="B5" t="s">
        <v>78</v>
      </c>
    </row>
    <row r="6" spans="1:2" ht="17.100000000000001" customHeight="1" x14ac:dyDescent="0.25">
      <c r="B6" t="s">
        <v>79</v>
      </c>
    </row>
    <row r="7" spans="1:2" ht="15" x14ac:dyDescent="0.25">
      <c r="A7" t="s">
        <v>80</v>
      </c>
      <c r="B7" t="s">
        <v>81</v>
      </c>
    </row>
    <row r="8" spans="1:2" ht="15" x14ac:dyDescent="0.25">
      <c r="B8" t="s">
        <v>82</v>
      </c>
    </row>
    <row r="9" spans="1:2" ht="15" x14ac:dyDescent="0.25">
      <c r="B9" t="s">
        <v>83</v>
      </c>
    </row>
    <row r="10" spans="1:2" ht="15" x14ac:dyDescent="0.25">
      <c r="B10" t="s">
        <v>84</v>
      </c>
    </row>
    <row r="11" spans="1:2" ht="15" x14ac:dyDescent="0.25">
      <c r="A11" t="s">
        <v>85</v>
      </c>
      <c r="B11" t="s">
        <v>86</v>
      </c>
    </row>
    <row r="12" spans="1:2" ht="17.100000000000001" customHeight="1" x14ac:dyDescent="0.25">
      <c r="A12" t="s">
        <v>87</v>
      </c>
      <c r="B12" t="s">
        <v>88</v>
      </c>
    </row>
    <row r="13" spans="1:2" s="67" customFormat="1" ht="17.100000000000001" customHeight="1" x14ac:dyDescent="0.3">
      <c r="A13"/>
      <c r="B13" t="s">
        <v>89</v>
      </c>
    </row>
    <row r="14" spans="1:2" s="67" customFormat="1" ht="17.100000000000001" customHeight="1" x14ac:dyDescent="0.3">
      <c r="A14"/>
      <c r="B14" t="s">
        <v>90</v>
      </c>
    </row>
    <row r="15" spans="1:2" ht="17.100000000000001" customHeight="1" x14ac:dyDescent="0.25">
      <c r="B15" t="s">
        <v>91</v>
      </c>
    </row>
    <row r="16" spans="1:2" ht="17.100000000000001" customHeight="1" x14ac:dyDescent="0.25">
      <c r="B16" t="s">
        <v>92</v>
      </c>
    </row>
    <row r="17" spans="1:2" ht="17.100000000000001" customHeight="1" x14ac:dyDescent="0.25">
      <c r="A17" t="s">
        <v>93</v>
      </c>
      <c r="B17" t="s">
        <v>94</v>
      </c>
    </row>
  </sheetData>
  <mergeCells count="1">
    <mergeCell ref="A1:B1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4"/>
  <dimension ref="A1:BE3"/>
  <sheetViews>
    <sheetView workbookViewId="0">
      <selection activeCell="N3" sqref="N3:W3"/>
    </sheetView>
  </sheetViews>
  <sheetFormatPr defaultColWidth="8.85546875" defaultRowHeight="15" x14ac:dyDescent="0.25"/>
  <cols>
    <col min="1" max="1" width="20.28515625" customWidth="1"/>
    <col min="2" max="2" width="9" customWidth="1"/>
    <col min="3" max="3" width="49.85546875" customWidth="1"/>
    <col min="4" max="4" width="7.28515625" bestFit="1" customWidth="1"/>
    <col min="5" max="5" width="10.85546875" bestFit="1" customWidth="1"/>
    <col min="6" max="6" width="8.140625" bestFit="1" customWidth="1"/>
    <col min="7" max="7" width="9.85546875" bestFit="1" customWidth="1"/>
    <col min="8" max="8" width="11.7109375" bestFit="1" customWidth="1"/>
    <col min="9" max="9" width="10.42578125" bestFit="1" customWidth="1"/>
    <col min="10" max="10" width="10" bestFit="1" customWidth="1"/>
    <col min="11" max="12" width="10.140625" bestFit="1" customWidth="1"/>
    <col min="13" max="13" width="9.28515625" bestFit="1" customWidth="1"/>
    <col min="14" max="21" width="7.28515625" bestFit="1" customWidth="1"/>
    <col min="22" max="24" width="6.7109375" customWidth="1"/>
    <col min="25" max="32" width="7.28515625" bestFit="1" customWidth="1"/>
    <col min="33" max="35" width="6.7109375" customWidth="1"/>
    <col min="36" max="43" width="7.28515625" bestFit="1" customWidth="1"/>
    <col min="44" max="46" width="6.7109375" customWidth="1"/>
    <col min="47" max="54" width="7.28515625" bestFit="1" customWidth="1"/>
    <col min="55" max="57" width="6.7109375" customWidth="1"/>
  </cols>
  <sheetData>
    <row r="1" spans="1:57" s="12" customFormat="1" x14ac:dyDescent="0.25">
      <c r="A1" s="174" t="s">
        <v>95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5" t="s">
        <v>96</v>
      </c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4" t="s">
        <v>97</v>
      </c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5" t="s">
        <v>98</v>
      </c>
      <c r="AK1" s="175"/>
      <c r="AL1" s="175"/>
      <c r="AM1" s="175"/>
      <c r="AN1" s="175"/>
      <c r="AO1" s="175"/>
      <c r="AP1" s="175"/>
      <c r="AQ1" s="175"/>
      <c r="AR1" s="175"/>
      <c r="AS1" s="175"/>
      <c r="AT1" s="175"/>
      <c r="AU1" s="174" t="s">
        <v>99</v>
      </c>
      <c r="AV1" s="174"/>
      <c r="AW1" s="174"/>
      <c r="AX1" s="174"/>
      <c r="AY1" s="174"/>
      <c r="AZ1" s="174"/>
      <c r="BA1" s="174"/>
      <c r="BB1" s="174"/>
      <c r="BC1" s="174"/>
      <c r="BD1" s="174"/>
      <c r="BE1" s="174"/>
    </row>
    <row r="2" spans="1:57" x14ac:dyDescent="0.25">
      <c r="A2" s="21" t="s">
        <v>2</v>
      </c>
      <c r="B2" s="21" t="s">
        <v>22</v>
      </c>
      <c r="C2" s="21" t="s">
        <v>100</v>
      </c>
      <c r="D2" s="21" t="s">
        <v>101</v>
      </c>
      <c r="E2" s="21" t="s">
        <v>8</v>
      </c>
      <c r="F2" s="21" t="s">
        <v>102</v>
      </c>
      <c r="G2" s="21" t="s">
        <v>11</v>
      </c>
      <c r="H2" s="21" t="s">
        <v>103</v>
      </c>
      <c r="I2" s="21" t="s">
        <v>104</v>
      </c>
      <c r="J2" s="21" t="s">
        <v>105</v>
      </c>
      <c r="K2" s="21" t="s">
        <v>106</v>
      </c>
      <c r="L2" s="21" t="s">
        <v>107</v>
      </c>
      <c r="M2" s="21" t="s">
        <v>108</v>
      </c>
      <c r="N2" s="20" t="s">
        <v>109</v>
      </c>
      <c r="O2" s="20" t="s">
        <v>110</v>
      </c>
      <c r="P2" s="20" t="s">
        <v>111</v>
      </c>
      <c r="Q2" s="20" t="s">
        <v>112</v>
      </c>
      <c r="R2" s="20" t="s">
        <v>113</v>
      </c>
      <c r="S2" s="20" t="s">
        <v>114</v>
      </c>
      <c r="T2" s="20" t="s">
        <v>115</v>
      </c>
      <c r="U2" s="20" t="s">
        <v>116</v>
      </c>
      <c r="V2" s="20" t="s">
        <v>55</v>
      </c>
      <c r="W2" s="20" t="s">
        <v>37</v>
      </c>
      <c r="X2" s="20" t="s">
        <v>38</v>
      </c>
      <c r="Y2" s="21" t="s">
        <v>109</v>
      </c>
      <c r="Z2" s="21" t="s">
        <v>110</v>
      </c>
      <c r="AA2" s="21" t="s">
        <v>111</v>
      </c>
      <c r="AB2" s="21" t="s">
        <v>112</v>
      </c>
      <c r="AC2" s="21" t="s">
        <v>113</v>
      </c>
      <c r="AD2" s="21" t="s">
        <v>114</v>
      </c>
      <c r="AE2" s="21" t="s">
        <v>115</v>
      </c>
      <c r="AF2" s="21" t="s">
        <v>116</v>
      </c>
      <c r="AG2" s="21" t="s">
        <v>55</v>
      </c>
      <c r="AH2" s="21" t="s">
        <v>37</v>
      </c>
      <c r="AI2" s="21" t="s">
        <v>38</v>
      </c>
      <c r="AJ2" s="20" t="s">
        <v>109</v>
      </c>
      <c r="AK2" s="20" t="s">
        <v>110</v>
      </c>
      <c r="AL2" s="20" t="s">
        <v>111</v>
      </c>
      <c r="AM2" s="20" t="s">
        <v>112</v>
      </c>
      <c r="AN2" s="20" t="s">
        <v>113</v>
      </c>
      <c r="AO2" s="20" t="s">
        <v>114</v>
      </c>
      <c r="AP2" s="20" t="s">
        <v>115</v>
      </c>
      <c r="AQ2" s="20" t="s">
        <v>116</v>
      </c>
      <c r="AR2" s="20" t="s">
        <v>55</v>
      </c>
      <c r="AS2" s="20" t="s">
        <v>37</v>
      </c>
      <c r="AT2" s="20" t="s">
        <v>38</v>
      </c>
      <c r="AU2" s="21" t="s">
        <v>109</v>
      </c>
      <c r="AV2" s="21" t="s">
        <v>110</v>
      </c>
      <c r="AW2" s="21" t="s">
        <v>111</v>
      </c>
      <c r="AX2" s="21" t="s">
        <v>112</v>
      </c>
      <c r="AY2" s="21" t="s">
        <v>113</v>
      </c>
      <c r="AZ2" s="21" t="s">
        <v>114</v>
      </c>
      <c r="BA2" s="21" t="s">
        <v>115</v>
      </c>
      <c r="BB2" s="21" t="s">
        <v>116</v>
      </c>
      <c r="BC2" s="21" t="s">
        <v>55</v>
      </c>
      <c r="BD2" s="21" t="s">
        <v>37</v>
      </c>
      <c r="BE2" s="21" t="s">
        <v>38</v>
      </c>
    </row>
    <row r="3" spans="1:57" x14ac:dyDescent="0.25">
      <c r="A3" t="str">
        <f>Programmering!D5</f>
        <v>Economie</v>
      </c>
      <c r="B3" t="str">
        <f>IF(Programmering!N12="sprint",LEFT(Programmering!D6,5)&amp;"s",IF(AND(Programmering!N5="Werktuigbouwkunde",D3=4,E3="BOL"),LEFT(Programmering!D6,5)&amp;"w",LEFT(Programmering!D6,5)))</f>
        <v>25874</v>
      </c>
      <c r="C3" t="str">
        <f>RIGHT(Programmering!D6,LEN(Programmering!D6)-8)</f>
        <v>Commercieel medewerker</v>
      </c>
      <c r="D3">
        <f>Programmering!N9</f>
        <v>3</v>
      </c>
      <c r="E3" t="str">
        <f>Programmering!$D$7</f>
        <v>BBL</v>
      </c>
      <c r="F3">
        <f>Programmering!N8</f>
        <v>1</v>
      </c>
      <c r="G3" t="str">
        <f>Programmering!D8</f>
        <v>2025/2026</v>
      </c>
      <c r="H3" s="18">
        <f>Programmering!D10</f>
        <v>45870</v>
      </c>
      <c r="I3" s="18">
        <f>Programmering!D11</f>
        <v>46234</v>
      </c>
      <c r="J3" s="22">
        <f>Programmering!G18</f>
        <v>850</v>
      </c>
      <c r="K3" s="22">
        <f>Programmering!G19</f>
        <v>200</v>
      </c>
      <c r="L3" s="22">
        <f>Programmering!G20</f>
        <v>610</v>
      </c>
      <c r="M3">
        <f>Programmering!N10</f>
        <v>20</v>
      </c>
      <c r="N3" s="22">
        <f>Programmering!H26+Programmering!I26</f>
        <v>60</v>
      </c>
      <c r="O3" s="22">
        <f>Programmering!J26</f>
        <v>200</v>
      </c>
      <c r="P3" s="22">
        <f>Programmering!H27+Programmering!I27</f>
        <v>60</v>
      </c>
      <c r="Q3" s="22">
        <f>Programmering!J27</f>
        <v>200</v>
      </c>
      <c r="R3" s="22">
        <f>Programmering!H28+Programmering!I28</f>
        <v>60</v>
      </c>
      <c r="S3" s="22">
        <f>Programmering!J28</f>
        <v>200</v>
      </c>
      <c r="T3" s="22">
        <f>Programmering!H29+Programmering!I29</f>
        <v>53.333333333333336</v>
      </c>
      <c r="U3" s="22">
        <f>Programmering!J29</f>
        <v>200</v>
      </c>
      <c r="V3" s="22">
        <f>Programmering!H30+Programmering!I30</f>
        <v>233.33333333333334</v>
      </c>
      <c r="W3" s="22">
        <f>Programmering!J30</f>
        <v>800</v>
      </c>
      <c r="X3" s="22">
        <f>Programmering!K30</f>
        <v>1033.3333333333333</v>
      </c>
      <c r="Y3" s="22">
        <f>Programmering!H32+Programmering!I32</f>
        <v>60</v>
      </c>
      <c r="Z3" s="22">
        <f>Programmering!J32</f>
        <v>200</v>
      </c>
      <c r="AA3" s="22">
        <f>Programmering!H33+Programmering!I33</f>
        <v>60</v>
      </c>
      <c r="AB3" s="22">
        <f>Programmering!J33</f>
        <v>200</v>
      </c>
      <c r="AC3" s="22">
        <f>Programmering!H34+Programmering!I34</f>
        <v>82.5</v>
      </c>
      <c r="AD3" s="22">
        <f>Programmering!J34</f>
        <v>200</v>
      </c>
      <c r="AE3" s="22">
        <f>Programmering!H35+Programmering!I35</f>
        <v>26.666666666666668</v>
      </c>
      <c r="AF3" s="22">
        <f>Programmering!J35</f>
        <v>200</v>
      </c>
      <c r="AG3" s="22">
        <f>Programmering!H36+Programmering!I36</f>
        <v>229.16666666666666</v>
      </c>
      <c r="AH3" s="22">
        <f>Programmering!J36</f>
        <v>800</v>
      </c>
      <c r="AI3" s="22">
        <f>Programmering!K36</f>
        <v>1029.1666666666667</v>
      </c>
      <c r="AJ3" s="22">
        <f>Programmering!H38+Programmering!I38</f>
        <v>0</v>
      </c>
      <c r="AK3" s="22">
        <f>Programmering!J38</f>
        <v>0</v>
      </c>
      <c r="AL3" s="22">
        <f>Programmering!H39+Programmering!I39</f>
        <v>0</v>
      </c>
      <c r="AM3" s="22">
        <f>Programmering!J39</f>
        <v>0</v>
      </c>
      <c r="AN3" s="22">
        <f>Programmering!H40+Programmering!I40</f>
        <v>0</v>
      </c>
      <c r="AO3" s="22">
        <f>Programmering!J40</f>
        <v>0</v>
      </c>
      <c r="AP3" s="22">
        <f>Programmering!H41+Programmering!I41</f>
        <v>0</v>
      </c>
      <c r="AQ3" s="22">
        <f>Programmering!J41</f>
        <v>0</v>
      </c>
      <c r="AR3" s="22">
        <f>Programmering!H42+Programmering!I42</f>
        <v>0</v>
      </c>
      <c r="AS3" s="22">
        <f>Programmering!J42</f>
        <v>0</v>
      </c>
      <c r="AT3" s="22">
        <f>Programmering!K42</f>
        <v>0</v>
      </c>
      <c r="AU3" s="22">
        <f>Programmering!H44+Programmering!I44</f>
        <v>0</v>
      </c>
      <c r="AV3" s="22">
        <f>Programmering!J44</f>
        <v>0</v>
      </c>
      <c r="AW3" s="22">
        <f>Programmering!H45+Programmering!I45</f>
        <v>0</v>
      </c>
      <c r="AX3" s="22">
        <f>Programmering!J45</f>
        <v>0</v>
      </c>
      <c r="AY3" s="22">
        <f>Programmering!H46+Programmering!I46</f>
        <v>0</v>
      </c>
      <c r="AZ3" s="22">
        <f>Programmering!J46</f>
        <v>0</v>
      </c>
      <c r="BA3" s="22">
        <f>Programmering!H47+Programmering!I47</f>
        <v>0</v>
      </c>
      <c r="BB3" s="22">
        <f>Programmering!J47</f>
        <v>0</v>
      </c>
      <c r="BC3" s="22">
        <f>Programmering!H48+Programmering!I48</f>
        <v>0</v>
      </c>
      <c r="BD3" s="22">
        <f>Programmering!J48</f>
        <v>0</v>
      </c>
      <c r="BE3" s="22">
        <f>Programmering!K48</f>
        <v>0</v>
      </c>
    </row>
  </sheetData>
  <mergeCells count="5">
    <mergeCell ref="AU1:BE1"/>
    <mergeCell ref="AJ1:AT1"/>
    <mergeCell ref="Y1:AI1"/>
    <mergeCell ref="N1:X1"/>
    <mergeCell ref="A1:M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2"/>
  <dimension ref="A1:AX115"/>
  <sheetViews>
    <sheetView zoomScaleNormal="100" workbookViewId="0">
      <pane xSplit="1" ySplit="3" topLeftCell="B4" activePane="bottomRight" state="frozen"/>
      <selection pane="topRight" activeCell="B32" sqref="B32"/>
      <selection pane="bottomLeft" activeCell="B32" sqref="B32"/>
      <selection pane="bottomRight" activeCell="Q8" sqref="Q8"/>
    </sheetView>
  </sheetViews>
  <sheetFormatPr defaultColWidth="0" defaultRowHeight="15" customHeight="1" x14ac:dyDescent="0.25"/>
  <cols>
    <col min="1" max="1" width="29.85546875" customWidth="1"/>
    <col min="2" max="2" width="10" style="1" customWidth="1"/>
    <col min="3" max="4" width="9.28515625" style="1" customWidth="1"/>
    <col min="5" max="8" width="8.7109375" style="1" customWidth="1"/>
    <col min="9" max="18" width="8.7109375" customWidth="1"/>
    <col min="19" max="19" width="9.7109375" style="1" customWidth="1"/>
    <col min="20" max="50" width="0" hidden="1" customWidth="1"/>
    <col min="51" max="16384" width="9.140625" hidden="1"/>
  </cols>
  <sheetData>
    <row r="1" spans="1:19" ht="15" customHeight="1" x14ac:dyDescent="0.25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</row>
    <row r="2" spans="1:19" s="12" customFormat="1" ht="15" customHeight="1" x14ac:dyDescent="0.25">
      <c r="A2" s="23"/>
      <c r="B2" s="176" t="s">
        <v>38</v>
      </c>
      <c r="C2" s="176"/>
      <c r="D2" s="176"/>
      <c r="E2" s="176" t="s">
        <v>55</v>
      </c>
      <c r="F2" s="176"/>
      <c r="G2" s="176"/>
      <c r="H2" s="176" t="s">
        <v>37</v>
      </c>
      <c r="I2" s="176"/>
      <c r="J2" s="176"/>
      <c r="K2" s="176" t="s">
        <v>117</v>
      </c>
      <c r="L2" s="176"/>
      <c r="M2" s="176"/>
      <c r="N2" s="176" t="s">
        <v>118</v>
      </c>
      <c r="O2" s="176"/>
      <c r="P2" s="176"/>
      <c r="Q2" s="176" t="s">
        <v>119</v>
      </c>
      <c r="R2" s="176"/>
      <c r="S2" s="1" t="s">
        <v>120</v>
      </c>
    </row>
    <row r="3" spans="1:19" ht="15" customHeight="1" x14ac:dyDescent="0.25">
      <c r="A3" s="3" t="s">
        <v>14</v>
      </c>
      <c r="B3" s="4" t="s">
        <v>121</v>
      </c>
      <c r="C3" s="4" t="s">
        <v>122</v>
      </c>
      <c r="D3" s="4" t="s">
        <v>123</v>
      </c>
      <c r="E3" s="4" t="s">
        <v>121</v>
      </c>
      <c r="F3" s="4" t="s">
        <v>9</v>
      </c>
      <c r="G3" s="4" t="s">
        <v>123</v>
      </c>
      <c r="H3" s="4" t="s">
        <v>121</v>
      </c>
      <c r="I3" s="4" t="s">
        <v>9</v>
      </c>
      <c r="J3" s="4" t="s">
        <v>123</v>
      </c>
      <c r="K3" s="4" t="s">
        <v>121</v>
      </c>
      <c r="L3" s="4" t="s">
        <v>9</v>
      </c>
      <c r="M3" s="4" t="s">
        <v>123</v>
      </c>
      <c r="N3" s="4" t="s">
        <v>121</v>
      </c>
      <c r="O3" s="4" t="s">
        <v>9</v>
      </c>
      <c r="P3" s="4" t="s">
        <v>123</v>
      </c>
      <c r="Q3" s="4" t="s">
        <v>108</v>
      </c>
      <c r="R3" s="4" t="s">
        <v>124</v>
      </c>
      <c r="S3" s="1" t="s">
        <v>9</v>
      </c>
    </row>
    <row r="4" spans="1:19" ht="15" customHeight="1" x14ac:dyDescent="0.25">
      <c r="A4" s="2" t="s">
        <v>125</v>
      </c>
      <c r="B4" s="13">
        <v>0</v>
      </c>
      <c r="C4" s="13">
        <f>$C$9*(Q4/10)</f>
        <v>425</v>
      </c>
      <c r="D4" s="13">
        <v>0</v>
      </c>
      <c r="E4" s="15">
        <v>0</v>
      </c>
      <c r="F4" s="15">
        <f>$F$9*(Q4/10)</f>
        <v>100</v>
      </c>
      <c r="G4" s="15">
        <v>0</v>
      </c>
      <c r="H4" s="14">
        <v>0</v>
      </c>
      <c r="I4" s="14">
        <f>$I$9*(Q4/10)</f>
        <v>305</v>
      </c>
      <c r="J4" s="14">
        <v>0</v>
      </c>
      <c r="K4" s="15">
        <v>0</v>
      </c>
      <c r="L4" s="15">
        <f t="shared" ref="L4:L27" si="0">C4-F4-I4</f>
        <v>20</v>
      </c>
      <c r="M4" s="15">
        <v>0</v>
      </c>
      <c r="N4" s="19">
        <v>0</v>
      </c>
      <c r="O4" s="19">
        <v>0</v>
      </c>
      <c r="P4" s="19">
        <v>0</v>
      </c>
      <c r="Q4" s="15">
        <v>5</v>
      </c>
      <c r="R4" s="19">
        <v>1</v>
      </c>
    </row>
    <row r="5" spans="1:19" ht="15" customHeight="1" x14ac:dyDescent="0.25">
      <c r="A5" s="2" t="s">
        <v>126</v>
      </c>
      <c r="B5" s="13">
        <v>0</v>
      </c>
      <c r="C5" s="13">
        <f>$C$9*(Q5/10)</f>
        <v>510</v>
      </c>
      <c r="D5" s="13">
        <v>0</v>
      </c>
      <c r="E5" s="15">
        <v>0</v>
      </c>
      <c r="F5" s="15">
        <f>$F$9*(Q5/10)</f>
        <v>120</v>
      </c>
      <c r="G5" s="15">
        <v>0</v>
      </c>
      <c r="H5" s="14">
        <v>0</v>
      </c>
      <c r="I5" s="14">
        <f>$I$9*(Q5/10)</f>
        <v>366</v>
      </c>
      <c r="J5" s="14">
        <v>0</v>
      </c>
      <c r="K5" s="15">
        <v>0</v>
      </c>
      <c r="L5" s="15">
        <f t="shared" si="0"/>
        <v>24</v>
      </c>
      <c r="M5" s="15">
        <v>0</v>
      </c>
      <c r="N5" s="19">
        <v>0</v>
      </c>
      <c r="O5" s="19">
        <v>0</v>
      </c>
      <c r="P5" s="19">
        <v>0</v>
      </c>
      <c r="Q5" s="15">
        <v>6</v>
      </c>
      <c r="R5" s="19">
        <v>1</v>
      </c>
    </row>
    <row r="6" spans="1:19" ht="15" customHeight="1" x14ac:dyDescent="0.25">
      <c r="A6" s="2" t="s">
        <v>127</v>
      </c>
      <c r="B6" s="13">
        <v>0</v>
      </c>
      <c r="C6" s="13">
        <f>$C$9*(Q6/10)</f>
        <v>595</v>
      </c>
      <c r="D6" s="13">
        <v>0</v>
      </c>
      <c r="E6" s="15">
        <v>0</v>
      </c>
      <c r="F6" s="15">
        <f>$F$9*(Q6/10)</f>
        <v>140</v>
      </c>
      <c r="G6" s="15">
        <v>0</v>
      </c>
      <c r="H6" s="14">
        <v>0</v>
      </c>
      <c r="I6" s="14">
        <f>$I$9*(Q6/10)</f>
        <v>427</v>
      </c>
      <c r="J6" s="14">
        <v>0</v>
      </c>
      <c r="K6" s="15">
        <v>0</v>
      </c>
      <c r="L6" s="15">
        <f t="shared" si="0"/>
        <v>28</v>
      </c>
      <c r="M6" s="15">
        <v>0</v>
      </c>
      <c r="N6" s="19">
        <v>0</v>
      </c>
      <c r="O6" s="19">
        <v>0</v>
      </c>
      <c r="P6" s="19">
        <v>0</v>
      </c>
      <c r="Q6" s="15">
        <v>7</v>
      </c>
      <c r="R6" s="19">
        <v>1</v>
      </c>
    </row>
    <row r="7" spans="1:19" ht="15" customHeight="1" x14ac:dyDescent="0.25">
      <c r="A7" s="2" t="s">
        <v>128</v>
      </c>
      <c r="B7" s="13">
        <v>0</v>
      </c>
      <c r="C7" s="13">
        <f>$C$9*(Q7/10)</f>
        <v>680</v>
      </c>
      <c r="D7" s="13">
        <v>0</v>
      </c>
      <c r="E7" s="15">
        <v>0</v>
      </c>
      <c r="F7" s="15">
        <f>$F$9*(Q7/10)</f>
        <v>160</v>
      </c>
      <c r="G7" s="15">
        <v>0</v>
      </c>
      <c r="H7" s="14">
        <v>0</v>
      </c>
      <c r="I7" s="14">
        <f>$I$9*(Q7/10)</f>
        <v>488</v>
      </c>
      <c r="J7" s="14">
        <v>0</v>
      </c>
      <c r="K7" s="15">
        <v>0</v>
      </c>
      <c r="L7" s="15">
        <f t="shared" si="0"/>
        <v>32</v>
      </c>
      <c r="M7" s="15">
        <v>0</v>
      </c>
      <c r="N7" s="19">
        <v>0</v>
      </c>
      <c r="O7" s="19">
        <v>0</v>
      </c>
      <c r="P7" s="19">
        <v>0</v>
      </c>
      <c r="Q7" s="15">
        <v>8</v>
      </c>
      <c r="R7" s="19">
        <v>1</v>
      </c>
    </row>
    <row r="8" spans="1:19" ht="15" customHeight="1" x14ac:dyDescent="0.25">
      <c r="A8" s="2" t="s">
        <v>129</v>
      </c>
      <c r="B8" s="13">
        <v>0</v>
      </c>
      <c r="C8" s="13">
        <f>$C$9*(Q8/10)</f>
        <v>765</v>
      </c>
      <c r="D8" s="13">
        <v>0</v>
      </c>
      <c r="E8" s="15">
        <v>0</v>
      </c>
      <c r="F8" s="15">
        <f>$F$9*(Q8/10)</f>
        <v>180</v>
      </c>
      <c r="G8" s="15">
        <v>0</v>
      </c>
      <c r="H8" s="14">
        <v>0</v>
      </c>
      <c r="I8" s="14">
        <f>$I$9*(Q8/10)</f>
        <v>549</v>
      </c>
      <c r="J8" s="14">
        <v>0</v>
      </c>
      <c r="K8" s="15">
        <v>0</v>
      </c>
      <c r="L8" s="15">
        <f t="shared" si="0"/>
        <v>36</v>
      </c>
      <c r="M8" s="15">
        <v>0</v>
      </c>
      <c r="N8" s="19">
        <v>0</v>
      </c>
      <c r="O8" s="19">
        <v>0</v>
      </c>
      <c r="P8" s="19">
        <v>0</v>
      </c>
      <c r="Q8" s="15">
        <v>9</v>
      </c>
      <c r="R8" s="19">
        <v>1</v>
      </c>
    </row>
    <row r="9" spans="1:19" ht="15" customHeight="1" x14ac:dyDescent="0.25">
      <c r="A9" s="2" t="s">
        <v>130</v>
      </c>
      <c r="B9" s="4">
        <v>1000</v>
      </c>
      <c r="C9" s="4">
        <v>850</v>
      </c>
      <c r="D9" s="4">
        <v>0</v>
      </c>
      <c r="E9" s="4">
        <v>700</v>
      </c>
      <c r="F9" s="4">
        <v>200</v>
      </c>
      <c r="G9" s="4">
        <v>0</v>
      </c>
      <c r="H9" s="62">
        <v>250</v>
      </c>
      <c r="I9" s="62">
        <v>610</v>
      </c>
      <c r="J9" s="62">
        <v>0</v>
      </c>
      <c r="K9" s="62">
        <f t="shared" ref="K9:K27" si="1">B9-E9-H9</f>
        <v>50</v>
      </c>
      <c r="L9" s="62">
        <f t="shared" si="0"/>
        <v>40</v>
      </c>
      <c r="M9" s="62">
        <v>0</v>
      </c>
      <c r="N9" s="63">
        <v>700</v>
      </c>
      <c r="O9" s="63">
        <v>0</v>
      </c>
      <c r="P9" s="63">
        <v>0</v>
      </c>
      <c r="Q9" s="62">
        <v>10</v>
      </c>
      <c r="R9" s="63">
        <v>1</v>
      </c>
    </row>
    <row r="10" spans="1:19" ht="15" customHeight="1" x14ac:dyDescent="0.25">
      <c r="A10" s="2" t="s">
        <v>15</v>
      </c>
      <c r="B10" s="14">
        <f t="shared" ref="B10:B27" si="2">R10*$B$9*(Q10/(R10*10))</f>
        <v>2000</v>
      </c>
      <c r="C10" s="14">
        <f t="shared" ref="C10:C27" si="3">R10*$C$9*(Q10/(R10*10))</f>
        <v>1700</v>
      </c>
      <c r="D10" s="14">
        <v>0</v>
      </c>
      <c r="E10" s="15">
        <f t="shared" ref="E10:E27" si="4">(150+R10*550)*(Q10/(R10*10))</f>
        <v>1250</v>
      </c>
      <c r="F10" s="15">
        <f t="shared" ref="F10:F27" si="5">R10*$F$9*(Q10/(R10*10))</f>
        <v>400</v>
      </c>
      <c r="G10" s="15">
        <v>0</v>
      </c>
      <c r="H10" s="14">
        <v>450</v>
      </c>
      <c r="I10" s="14">
        <f t="shared" ref="I10:I27" si="6">R10*$I$9*(Q10/(R10*10))</f>
        <v>1220</v>
      </c>
      <c r="J10" s="14">
        <v>0</v>
      </c>
      <c r="K10" s="15">
        <f t="shared" si="1"/>
        <v>300</v>
      </c>
      <c r="L10" s="15">
        <f t="shared" si="0"/>
        <v>80</v>
      </c>
      <c r="M10" s="15">
        <v>0</v>
      </c>
      <c r="N10" s="19">
        <v>700</v>
      </c>
      <c r="O10" s="19">
        <v>0</v>
      </c>
      <c r="P10" s="19">
        <v>0</v>
      </c>
      <c r="Q10" s="15">
        <v>20</v>
      </c>
      <c r="R10" s="19">
        <v>2</v>
      </c>
    </row>
    <row r="11" spans="1:19" ht="15" customHeight="1" x14ac:dyDescent="0.25">
      <c r="A11" s="2" t="s">
        <v>131</v>
      </c>
      <c r="B11" s="14">
        <f t="shared" si="2"/>
        <v>3000</v>
      </c>
      <c r="C11" s="14">
        <f t="shared" si="3"/>
        <v>2550</v>
      </c>
      <c r="D11" s="14">
        <v>0</v>
      </c>
      <c r="E11" s="15">
        <f t="shared" si="4"/>
        <v>1800</v>
      </c>
      <c r="F11" s="15">
        <f t="shared" si="5"/>
        <v>600</v>
      </c>
      <c r="G11" s="15">
        <v>0</v>
      </c>
      <c r="H11" s="14">
        <f>(R11-1)*$H$10*(Q11/(R11*10))</f>
        <v>900</v>
      </c>
      <c r="I11" s="14">
        <f t="shared" si="6"/>
        <v>1830</v>
      </c>
      <c r="J11" s="14">
        <v>0</v>
      </c>
      <c r="K11" s="15">
        <f t="shared" si="1"/>
        <v>300</v>
      </c>
      <c r="L11" s="15">
        <f t="shared" si="0"/>
        <v>120</v>
      </c>
      <c r="M11" s="15">
        <v>0</v>
      </c>
      <c r="N11" s="19">
        <v>700</v>
      </c>
      <c r="O11" s="19">
        <v>0</v>
      </c>
      <c r="P11" s="19">
        <v>0</v>
      </c>
      <c r="Q11" s="15">
        <v>30</v>
      </c>
      <c r="R11" s="19">
        <v>3</v>
      </c>
    </row>
    <row r="12" spans="1:19" ht="15" customHeight="1" x14ac:dyDescent="0.25">
      <c r="A12" s="2" t="s">
        <v>132</v>
      </c>
      <c r="B12" s="14">
        <f t="shared" si="2"/>
        <v>4000</v>
      </c>
      <c r="C12" s="14">
        <f t="shared" si="3"/>
        <v>3400</v>
      </c>
      <c r="D12" s="14">
        <v>0</v>
      </c>
      <c r="E12" s="15">
        <f t="shared" si="4"/>
        <v>2350</v>
      </c>
      <c r="F12" s="15">
        <f t="shared" si="5"/>
        <v>800</v>
      </c>
      <c r="G12" s="15">
        <v>0</v>
      </c>
      <c r="H12" s="14">
        <f t="shared" ref="H12:H27" si="7">(R12-1)*$H$10*(Q12/(R12*10))</f>
        <v>1350</v>
      </c>
      <c r="I12" s="14">
        <f t="shared" si="6"/>
        <v>2440</v>
      </c>
      <c r="J12" s="14">
        <v>0</v>
      </c>
      <c r="K12" s="15">
        <f t="shared" si="1"/>
        <v>300</v>
      </c>
      <c r="L12" s="15">
        <f t="shared" si="0"/>
        <v>160</v>
      </c>
      <c r="M12" s="15">
        <v>0</v>
      </c>
      <c r="N12" s="19">
        <v>700</v>
      </c>
      <c r="O12" s="19">
        <v>0</v>
      </c>
      <c r="P12" s="19">
        <v>0</v>
      </c>
      <c r="Q12" s="15">
        <v>40</v>
      </c>
      <c r="R12" s="19">
        <v>4</v>
      </c>
    </row>
    <row r="13" spans="1:19" ht="15" customHeight="1" x14ac:dyDescent="0.25">
      <c r="A13" s="2" t="s">
        <v>133</v>
      </c>
      <c r="B13" s="14">
        <f>R13*$B$9*(Q13/(R13*10))</f>
        <v>1500</v>
      </c>
      <c r="C13" s="14">
        <f t="shared" si="3"/>
        <v>1275</v>
      </c>
      <c r="D13" s="14">
        <v>0</v>
      </c>
      <c r="E13" s="15">
        <f t="shared" si="4"/>
        <v>937.5</v>
      </c>
      <c r="F13" s="15">
        <f t="shared" si="5"/>
        <v>300</v>
      </c>
      <c r="G13" s="15">
        <v>0</v>
      </c>
      <c r="H13" s="14">
        <f t="shared" si="7"/>
        <v>337.5</v>
      </c>
      <c r="I13" s="14">
        <f t="shared" si="6"/>
        <v>915</v>
      </c>
      <c r="J13" s="14">
        <v>0</v>
      </c>
      <c r="K13" s="15">
        <f t="shared" si="1"/>
        <v>225</v>
      </c>
      <c r="L13" s="15">
        <f t="shared" si="0"/>
        <v>60</v>
      </c>
      <c r="M13" s="15">
        <v>0</v>
      </c>
      <c r="N13" s="19">
        <v>700</v>
      </c>
      <c r="O13" s="19">
        <v>0</v>
      </c>
      <c r="P13" s="19">
        <v>0</v>
      </c>
      <c r="Q13" s="15">
        <v>15</v>
      </c>
      <c r="R13" s="19">
        <v>2</v>
      </c>
    </row>
    <row r="14" spans="1:19" ht="15" customHeight="1" x14ac:dyDescent="0.25">
      <c r="A14" s="2" t="s">
        <v>134</v>
      </c>
      <c r="B14" s="14">
        <f t="shared" si="2"/>
        <v>1600</v>
      </c>
      <c r="C14" s="14">
        <f t="shared" si="3"/>
        <v>1360</v>
      </c>
      <c r="D14" s="14">
        <v>0</v>
      </c>
      <c r="E14" s="15">
        <f t="shared" si="4"/>
        <v>1000</v>
      </c>
      <c r="F14" s="15">
        <f t="shared" si="5"/>
        <v>320</v>
      </c>
      <c r="G14" s="15">
        <v>0</v>
      </c>
      <c r="H14" s="14">
        <f t="shared" si="7"/>
        <v>360</v>
      </c>
      <c r="I14" s="14">
        <f t="shared" si="6"/>
        <v>976</v>
      </c>
      <c r="J14" s="14">
        <v>0</v>
      </c>
      <c r="K14" s="15">
        <f t="shared" si="1"/>
        <v>240</v>
      </c>
      <c r="L14" s="15">
        <f t="shared" si="0"/>
        <v>64</v>
      </c>
      <c r="M14" s="15">
        <v>0</v>
      </c>
      <c r="N14" s="19">
        <v>700</v>
      </c>
      <c r="O14" s="19">
        <v>0</v>
      </c>
      <c r="P14" s="19">
        <v>0</v>
      </c>
      <c r="Q14" s="15">
        <v>16</v>
      </c>
      <c r="R14" s="19">
        <v>2</v>
      </c>
    </row>
    <row r="15" spans="1:19" ht="15" customHeight="1" x14ac:dyDescent="0.25">
      <c r="A15" s="2" t="s">
        <v>135</v>
      </c>
      <c r="B15" s="14">
        <f t="shared" si="2"/>
        <v>1700</v>
      </c>
      <c r="C15" s="14">
        <f t="shared" si="3"/>
        <v>1445</v>
      </c>
      <c r="D15" s="14">
        <v>0</v>
      </c>
      <c r="E15" s="15">
        <f t="shared" si="4"/>
        <v>1062.5</v>
      </c>
      <c r="F15" s="15">
        <f t="shared" si="5"/>
        <v>340</v>
      </c>
      <c r="G15" s="15">
        <v>0</v>
      </c>
      <c r="H15" s="14">
        <f t="shared" si="7"/>
        <v>382.5</v>
      </c>
      <c r="I15" s="14">
        <f t="shared" si="6"/>
        <v>1037</v>
      </c>
      <c r="J15" s="14">
        <v>0</v>
      </c>
      <c r="K15" s="15">
        <f t="shared" si="1"/>
        <v>255</v>
      </c>
      <c r="L15" s="15">
        <f t="shared" si="0"/>
        <v>68</v>
      </c>
      <c r="M15" s="15">
        <v>0</v>
      </c>
      <c r="N15" s="19">
        <v>700</v>
      </c>
      <c r="O15" s="19">
        <v>0</v>
      </c>
      <c r="P15" s="19">
        <v>0</v>
      </c>
      <c r="Q15" s="15">
        <v>17</v>
      </c>
      <c r="R15" s="19">
        <v>2</v>
      </c>
    </row>
    <row r="16" spans="1:19" ht="15" customHeight="1" x14ac:dyDescent="0.25">
      <c r="A16" s="2" t="s">
        <v>136</v>
      </c>
      <c r="B16" s="14">
        <f t="shared" si="2"/>
        <v>1800</v>
      </c>
      <c r="C16" s="14">
        <f t="shared" si="3"/>
        <v>1530</v>
      </c>
      <c r="D16" s="14">
        <v>0</v>
      </c>
      <c r="E16" s="15">
        <f t="shared" si="4"/>
        <v>1125</v>
      </c>
      <c r="F16" s="15">
        <f t="shared" si="5"/>
        <v>360</v>
      </c>
      <c r="G16" s="15">
        <v>0</v>
      </c>
      <c r="H16" s="14">
        <f t="shared" si="7"/>
        <v>405</v>
      </c>
      <c r="I16" s="14">
        <f t="shared" si="6"/>
        <v>1098</v>
      </c>
      <c r="J16" s="14">
        <v>0</v>
      </c>
      <c r="K16" s="15">
        <f t="shared" si="1"/>
        <v>270</v>
      </c>
      <c r="L16" s="15">
        <f t="shared" si="0"/>
        <v>72</v>
      </c>
      <c r="M16" s="15">
        <v>0</v>
      </c>
      <c r="N16" s="19">
        <v>700</v>
      </c>
      <c r="O16" s="19">
        <v>0</v>
      </c>
      <c r="P16" s="19">
        <v>0</v>
      </c>
      <c r="Q16" s="15">
        <v>18</v>
      </c>
      <c r="R16" s="19">
        <v>2</v>
      </c>
    </row>
    <row r="17" spans="1:18" ht="15" customHeight="1" x14ac:dyDescent="0.25">
      <c r="A17" s="2" t="s">
        <v>137</v>
      </c>
      <c r="B17" s="14">
        <f t="shared" si="2"/>
        <v>1900</v>
      </c>
      <c r="C17" s="14">
        <f t="shared" si="3"/>
        <v>1615</v>
      </c>
      <c r="D17" s="14">
        <v>0</v>
      </c>
      <c r="E17" s="15">
        <f t="shared" si="4"/>
        <v>1187.5</v>
      </c>
      <c r="F17" s="15">
        <f t="shared" si="5"/>
        <v>380</v>
      </c>
      <c r="G17" s="15">
        <v>0</v>
      </c>
      <c r="H17" s="14">
        <f t="shared" si="7"/>
        <v>427.5</v>
      </c>
      <c r="I17" s="14">
        <f t="shared" si="6"/>
        <v>1159</v>
      </c>
      <c r="J17" s="14">
        <v>0</v>
      </c>
      <c r="K17" s="15">
        <f t="shared" si="1"/>
        <v>285</v>
      </c>
      <c r="L17" s="15">
        <f t="shared" si="0"/>
        <v>76</v>
      </c>
      <c r="M17" s="15">
        <v>0</v>
      </c>
      <c r="N17" s="19">
        <v>700</v>
      </c>
      <c r="O17" s="19">
        <v>0</v>
      </c>
      <c r="P17" s="19">
        <v>0</v>
      </c>
      <c r="Q17" s="15">
        <v>19</v>
      </c>
      <c r="R17" s="19">
        <v>2</v>
      </c>
    </row>
    <row r="18" spans="1:18" ht="15" customHeight="1" x14ac:dyDescent="0.25">
      <c r="A18" s="2" t="s">
        <v>138</v>
      </c>
      <c r="B18" s="14">
        <f t="shared" si="2"/>
        <v>2500</v>
      </c>
      <c r="C18" s="14">
        <f t="shared" si="3"/>
        <v>2125</v>
      </c>
      <c r="D18" s="14">
        <v>0</v>
      </c>
      <c r="E18" s="15">
        <f t="shared" si="4"/>
        <v>1500</v>
      </c>
      <c r="F18" s="15">
        <f t="shared" si="5"/>
        <v>500</v>
      </c>
      <c r="G18" s="15">
        <v>0</v>
      </c>
      <c r="H18" s="14">
        <f t="shared" si="7"/>
        <v>750</v>
      </c>
      <c r="I18" s="14">
        <f t="shared" si="6"/>
        <v>1525</v>
      </c>
      <c r="J18" s="14">
        <v>0</v>
      </c>
      <c r="K18" s="15">
        <f t="shared" si="1"/>
        <v>250</v>
      </c>
      <c r="L18" s="15">
        <f t="shared" si="0"/>
        <v>100</v>
      </c>
      <c r="M18" s="15">
        <v>0</v>
      </c>
      <c r="N18" s="19">
        <v>700</v>
      </c>
      <c r="O18" s="19">
        <v>0</v>
      </c>
      <c r="P18" s="19">
        <v>0</v>
      </c>
      <c r="Q18" s="15">
        <v>25</v>
      </c>
      <c r="R18" s="19">
        <v>3</v>
      </c>
    </row>
    <row r="19" spans="1:18" ht="15" customHeight="1" x14ac:dyDescent="0.25">
      <c r="A19" s="2" t="s">
        <v>139</v>
      </c>
      <c r="B19" s="14">
        <f t="shared" si="2"/>
        <v>2600</v>
      </c>
      <c r="C19" s="14">
        <f t="shared" si="3"/>
        <v>2210</v>
      </c>
      <c r="D19" s="14">
        <v>0</v>
      </c>
      <c r="E19" s="15">
        <f t="shared" si="4"/>
        <v>1560</v>
      </c>
      <c r="F19" s="15">
        <f t="shared" si="5"/>
        <v>520</v>
      </c>
      <c r="G19" s="15">
        <v>0</v>
      </c>
      <c r="H19" s="14">
        <f t="shared" si="7"/>
        <v>780</v>
      </c>
      <c r="I19" s="14">
        <f t="shared" si="6"/>
        <v>1586</v>
      </c>
      <c r="J19" s="14">
        <v>0</v>
      </c>
      <c r="K19" s="15">
        <f t="shared" si="1"/>
        <v>260</v>
      </c>
      <c r="L19" s="15">
        <f t="shared" si="0"/>
        <v>104</v>
      </c>
      <c r="M19" s="15">
        <v>0</v>
      </c>
      <c r="N19" s="19">
        <v>700</v>
      </c>
      <c r="O19" s="19">
        <v>0</v>
      </c>
      <c r="P19" s="19">
        <v>0</v>
      </c>
      <c r="Q19" s="15">
        <v>26</v>
      </c>
      <c r="R19" s="19">
        <v>3</v>
      </c>
    </row>
    <row r="20" spans="1:18" ht="15" customHeight="1" x14ac:dyDescent="0.25">
      <c r="A20" s="2" t="s">
        <v>140</v>
      </c>
      <c r="B20" s="14">
        <f t="shared" si="2"/>
        <v>2700</v>
      </c>
      <c r="C20" s="14">
        <f t="shared" si="3"/>
        <v>2295</v>
      </c>
      <c r="D20" s="14">
        <v>0</v>
      </c>
      <c r="E20" s="15">
        <f t="shared" si="4"/>
        <v>1620</v>
      </c>
      <c r="F20" s="15">
        <f t="shared" si="5"/>
        <v>540</v>
      </c>
      <c r="G20" s="15">
        <v>0</v>
      </c>
      <c r="H20" s="14">
        <f t="shared" si="7"/>
        <v>810</v>
      </c>
      <c r="I20" s="14">
        <f t="shared" si="6"/>
        <v>1647</v>
      </c>
      <c r="J20" s="14">
        <v>0</v>
      </c>
      <c r="K20" s="15">
        <f t="shared" si="1"/>
        <v>270</v>
      </c>
      <c r="L20" s="15">
        <f t="shared" si="0"/>
        <v>108</v>
      </c>
      <c r="M20" s="15">
        <v>0</v>
      </c>
      <c r="N20" s="19">
        <v>700</v>
      </c>
      <c r="O20" s="19">
        <v>0</v>
      </c>
      <c r="P20" s="19">
        <v>0</v>
      </c>
      <c r="Q20" s="15">
        <v>27</v>
      </c>
      <c r="R20" s="19">
        <v>3</v>
      </c>
    </row>
    <row r="21" spans="1:18" ht="15" customHeight="1" x14ac:dyDescent="0.25">
      <c r="A21" s="2" t="s">
        <v>141</v>
      </c>
      <c r="B21" s="14">
        <f t="shared" si="2"/>
        <v>2800</v>
      </c>
      <c r="C21" s="14">
        <f t="shared" si="3"/>
        <v>2380</v>
      </c>
      <c r="D21" s="14">
        <v>0</v>
      </c>
      <c r="E21" s="15">
        <f t="shared" si="4"/>
        <v>1680</v>
      </c>
      <c r="F21" s="15">
        <f t="shared" si="5"/>
        <v>560</v>
      </c>
      <c r="G21" s="15">
        <v>0</v>
      </c>
      <c r="H21" s="14">
        <f t="shared" si="7"/>
        <v>840</v>
      </c>
      <c r="I21" s="14">
        <f t="shared" si="6"/>
        <v>1708</v>
      </c>
      <c r="J21" s="14">
        <v>0</v>
      </c>
      <c r="K21" s="15">
        <f t="shared" si="1"/>
        <v>280</v>
      </c>
      <c r="L21" s="15">
        <f t="shared" si="0"/>
        <v>112</v>
      </c>
      <c r="M21" s="15">
        <v>0</v>
      </c>
      <c r="N21" s="19">
        <v>700</v>
      </c>
      <c r="O21" s="19">
        <v>0</v>
      </c>
      <c r="P21" s="19">
        <v>0</v>
      </c>
      <c r="Q21" s="15">
        <v>28</v>
      </c>
      <c r="R21" s="19">
        <v>3</v>
      </c>
    </row>
    <row r="22" spans="1:18" ht="15" customHeight="1" x14ac:dyDescent="0.25">
      <c r="A22" s="2" t="s">
        <v>142</v>
      </c>
      <c r="B22" s="14">
        <f t="shared" si="2"/>
        <v>2900</v>
      </c>
      <c r="C22" s="14">
        <f t="shared" si="3"/>
        <v>2465</v>
      </c>
      <c r="D22" s="14">
        <v>0</v>
      </c>
      <c r="E22" s="15">
        <f t="shared" si="4"/>
        <v>1740</v>
      </c>
      <c r="F22" s="15">
        <f t="shared" si="5"/>
        <v>580</v>
      </c>
      <c r="G22" s="15">
        <v>0</v>
      </c>
      <c r="H22" s="14">
        <f t="shared" si="7"/>
        <v>870</v>
      </c>
      <c r="I22" s="14">
        <f t="shared" si="6"/>
        <v>1769</v>
      </c>
      <c r="J22" s="14">
        <v>0</v>
      </c>
      <c r="K22" s="15">
        <f t="shared" si="1"/>
        <v>290</v>
      </c>
      <c r="L22" s="15">
        <f t="shared" si="0"/>
        <v>116</v>
      </c>
      <c r="M22" s="15">
        <v>0</v>
      </c>
      <c r="N22" s="19">
        <v>700</v>
      </c>
      <c r="O22" s="19">
        <v>0</v>
      </c>
      <c r="P22" s="19">
        <v>0</v>
      </c>
      <c r="Q22" s="15">
        <v>29</v>
      </c>
      <c r="R22" s="19">
        <v>3</v>
      </c>
    </row>
    <row r="23" spans="1:18" ht="15" customHeight="1" x14ac:dyDescent="0.25">
      <c r="A23" s="2" t="s">
        <v>143</v>
      </c>
      <c r="B23" s="14">
        <f t="shared" si="2"/>
        <v>3500</v>
      </c>
      <c r="C23" s="14">
        <f t="shared" si="3"/>
        <v>2975</v>
      </c>
      <c r="D23" s="14">
        <v>0</v>
      </c>
      <c r="E23" s="15">
        <f t="shared" si="4"/>
        <v>2056.25</v>
      </c>
      <c r="F23" s="15">
        <f t="shared" si="5"/>
        <v>700</v>
      </c>
      <c r="G23" s="15">
        <v>0</v>
      </c>
      <c r="H23" s="14">
        <f t="shared" si="7"/>
        <v>1181.25</v>
      </c>
      <c r="I23" s="14">
        <f t="shared" si="6"/>
        <v>2135</v>
      </c>
      <c r="J23" s="14">
        <v>0</v>
      </c>
      <c r="K23" s="15">
        <f t="shared" si="1"/>
        <v>262.5</v>
      </c>
      <c r="L23" s="15">
        <f t="shared" si="0"/>
        <v>140</v>
      </c>
      <c r="M23" s="15">
        <v>0</v>
      </c>
      <c r="N23" s="19">
        <v>700</v>
      </c>
      <c r="O23" s="19">
        <v>0</v>
      </c>
      <c r="P23" s="19">
        <v>0</v>
      </c>
      <c r="Q23" s="15">
        <v>35</v>
      </c>
      <c r="R23" s="19">
        <v>4</v>
      </c>
    </row>
    <row r="24" spans="1:18" ht="15" customHeight="1" x14ac:dyDescent="0.25">
      <c r="A24" s="2" t="s">
        <v>144</v>
      </c>
      <c r="B24" s="14">
        <f t="shared" si="2"/>
        <v>3600</v>
      </c>
      <c r="C24" s="14">
        <f t="shared" si="3"/>
        <v>3060</v>
      </c>
      <c r="D24" s="14">
        <v>0</v>
      </c>
      <c r="E24" s="15">
        <f t="shared" si="4"/>
        <v>2115</v>
      </c>
      <c r="F24" s="15">
        <f t="shared" si="5"/>
        <v>720</v>
      </c>
      <c r="G24" s="15">
        <v>0</v>
      </c>
      <c r="H24" s="14">
        <f t="shared" si="7"/>
        <v>1215</v>
      </c>
      <c r="I24" s="14">
        <f t="shared" si="6"/>
        <v>2196</v>
      </c>
      <c r="J24" s="14">
        <v>0</v>
      </c>
      <c r="K24" s="15">
        <f t="shared" si="1"/>
        <v>270</v>
      </c>
      <c r="L24" s="15">
        <f t="shared" si="0"/>
        <v>144</v>
      </c>
      <c r="M24" s="15">
        <v>0</v>
      </c>
      <c r="N24" s="19">
        <v>700</v>
      </c>
      <c r="O24" s="19">
        <v>0</v>
      </c>
      <c r="P24" s="19">
        <v>0</v>
      </c>
      <c r="Q24" s="15">
        <v>36</v>
      </c>
      <c r="R24" s="19">
        <v>4</v>
      </c>
    </row>
    <row r="25" spans="1:18" ht="15" customHeight="1" x14ac:dyDescent="0.25">
      <c r="A25" s="2" t="s">
        <v>145</v>
      </c>
      <c r="B25" s="14">
        <f t="shared" si="2"/>
        <v>3700</v>
      </c>
      <c r="C25" s="14">
        <f t="shared" si="3"/>
        <v>3145</v>
      </c>
      <c r="D25" s="14">
        <v>0</v>
      </c>
      <c r="E25" s="15">
        <f t="shared" si="4"/>
        <v>2173.75</v>
      </c>
      <c r="F25" s="15">
        <f t="shared" si="5"/>
        <v>740</v>
      </c>
      <c r="G25" s="15">
        <v>0</v>
      </c>
      <c r="H25" s="14">
        <f t="shared" si="7"/>
        <v>1248.75</v>
      </c>
      <c r="I25" s="14">
        <f t="shared" si="6"/>
        <v>2257</v>
      </c>
      <c r="J25" s="14">
        <v>0</v>
      </c>
      <c r="K25" s="15">
        <f t="shared" si="1"/>
        <v>277.5</v>
      </c>
      <c r="L25" s="15">
        <f t="shared" si="0"/>
        <v>148</v>
      </c>
      <c r="M25" s="15">
        <v>0</v>
      </c>
      <c r="N25" s="19">
        <v>700</v>
      </c>
      <c r="O25" s="19">
        <v>0</v>
      </c>
      <c r="P25" s="19">
        <v>0</v>
      </c>
      <c r="Q25" s="15">
        <v>37</v>
      </c>
      <c r="R25" s="19">
        <v>4</v>
      </c>
    </row>
    <row r="26" spans="1:18" ht="15" customHeight="1" x14ac:dyDescent="0.25">
      <c r="A26" s="2" t="s">
        <v>146</v>
      </c>
      <c r="B26" s="14">
        <f t="shared" si="2"/>
        <v>3800</v>
      </c>
      <c r="C26" s="14">
        <f t="shared" si="3"/>
        <v>3230</v>
      </c>
      <c r="D26" s="14">
        <v>0</v>
      </c>
      <c r="E26" s="15">
        <f t="shared" si="4"/>
        <v>2232.5</v>
      </c>
      <c r="F26" s="15">
        <f t="shared" si="5"/>
        <v>760</v>
      </c>
      <c r="G26" s="15">
        <v>0</v>
      </c>
      <c r="H26" s="14">
        <f t="shared" si="7"/>
        <v>1282.5</v>
      </c>
      <c r="I26" s="14">
        <f t="shared" si="6"/>
        <v>2318</v>
      </c>
      <c r="J26" s="14">
        <v>0</v>
      </c>
      <c r="K26" s="15">
        <f t="shared" si="1"/>
        <v>285</v>
      </c>
      <c r="L26" s="15">
        <f t="shared" si="0"/>
        <v>152</v>
      </c>
      <c r="M26" s="15">
        <v>0</v>
      </c>
      <c r="N26" s="19">
        <v>700</v>
      </c>
      <c r="O26" s="19">
        <v>0</v>
      </c>
      <c r="P26" s="19">
        <v>0</v>
      </c>
      <c r="Q26" s="15">
        <v>38</v>
      </c>
      <c r="R26" s="19">
        <v>4</v>
      </c>
    </row>
    <row r="27" spans="1:18" ht="15" customHeight="1" x14ac:dyDescent="0.25">
      <c r="A27" s="2" t="s">
        <v>147</v>
      </c>
      <c r="B27" s="14">
        <f t="shared" si="2"/>
        <v>3900</v>
      </c>
      <c r="C27" s="14">
        <f t="shared" si="3"/>
        <v>3315</v>
      </c>
      <c r="D27" s="14">
        <v>0</v>
      </c>
      <c r="E27" s="15">
        <f t="shared" si="4"/>
        <v>2291.25</v>
      </c>
      <c r="F27" s="15">
        <f t="shared" si="5"/>
        <v>780</v>
      </c>
      <c r="G27" s="15">
        <v>0</v>
      </c>
      <c r="H27" s="14">
        <f t="shared" si="7"/>
        <v>1316.25</v>
      </c>
      <c r="I27" s="14">
        <f t="shared" si="6"/>
        <v>2379</v>
      </c>
      <c r="J27" s="14">
        <v>0</v>
      </c>
      <c r="K27" s="15">
        <f t="shared" si="1"/>
        <v>292.5</v>
      </c>
      <c r="L27" s="15">
        <f t="shared" si="0"/>
        <v>156</v>
      </c>
      <c r="M27" s="15">
        <v>0</v>
      </c>
      <c r="N27" s="19">
        <v>700</v>
      </c>
      <c r="O27" s="19">
        <v>0</v>
      </c>
      <c r="P27" s="19">
        <v>0</v>
      </c>
      <c r="Q27" s="15">
        <v>39</v>
      </c>
      <c r="R27" s="19">
        <v>4</v>
      </c>
    </row>
    <row r="28" spans="1:18" ht="15" customHeight="1" x14ac:dyDescent="0.25">
      <c r="A28" s="95" t="s">
        <v>277</v>
      </c>
      <c r="B28" s="14">
        <v>3000</v>
      </c>
      <c r="C28" s="14">
        <v>850</v>
      </c>
      <c r="D28" s="14">
        <v>0</v>
      </c>
      <c r="E28" s="15">
        <v>1700</v>
      </c>
      <c r="F28" s="15">
        <v>200</v>
      </c>
      <c r="G28" s="15">
        <v>0</v>
      </c>
      <c r="H28" s="14">
        <v>900</v>
      </c>
      <c r="I28" s="14">
        <v>610</v>
      </c>
      <c r="J28" s="14">
        <v>0</v>
      </c>
      <c r="K28" s="15">
        <f t="shared" ref="K28:K51" si="8">B28-E28-H28</f>
        <v>400</v>
      </c>
      <c r="L28" s="15">
        <f t="shared" ref="L28:L49" si="9">C28-F28-I28</f>
        <v>40</v>
      </c>
      <c r="M28" s="15">
        <v>0</v>
      </c>
      <c r="N28" s="19">
        <v>650</v>
      </c>
      <c r="O28" s="19">
        <v>0</v>
      </c>
      <c r="P28" s="19">
        <v>0</v>
      </c>
      <c r="Q28" s="15">
        <v>30</v>
      </c>
      <c r="R28" s="19">
        <v>3</v>
      </c>
    </row>
    <row r="29" spans="1:18" ht="15" customHeight="1" x14ac:dyDescent="0.25">
      <c r="A29" s="95">
        <v>23296</v>
      </c>
      <c r="B29" s="14">
        <v>3000</v>
      </c>
      <c r="C29" s="14">
        <v>2550</v>
      </c>
      <c r="D29" s="14">
        <v>0</v>
      </c>
      <c r="E29" s="15">
        <v>1700</v>
      </c>
      <c r="F29" s="15">
        <v>600</v>
      </c>
      <c r="G29" s="15">
        <v>0</v>
      </c>
      <c r="H29" s="14">
        <v>900</v>
      </c>
      <c r="I29" s="14">
        <v>1830</v>
      </c>
      <c r="J29" s="14">
        <v>0</v>
      </c>
      <c r="K29" s="15">
        <v>300</v>
      </c>
      <c r="L29" s="15">
        <v>120</v>
      </c>
      <c r="M29" s="15">
        <v>0</v>
      </c>
      <c r="N29" s="19">
        <v>650</v>
      </c>
      <c r="O29" s="19">
        <v>0</v>
      </c>
      <c r="P29" s="19">
        <v>0</v>
      </c>
      <c r="Q29" s="15">
        <v>30</v>
      </c>
      <c r="R29" s="19">
        <v>3</v>
      </c>
    </row>
    <row r="30" spans="1:18" ht="15" customHeight="1" x14ac:dyDescent="0.25">
      <c r="A30" s="95">
        <v>23354</v>
      </c>
      <c r="B30" s="14">
        <v>3000</v>
      </c>
      <c r="C30" s="14">
        <v>850</v>
      </c>
      <c r="D30" s="14">
        <v>0</v>
      </c>
      <c r="E30" s="15">
        <v>1700</v>
      </c>
      <c r="F30" s="15">
        <v>200</v>
      </c>
      <c r="G30" s="15">
        <v>0</v>
      </c>
      <c r="H30" s="14">
        <v>900</v>
      </c>
      <c r="I30" s="14">
        <v>610</v>
      </c>
      <c r="J30" s="14">
        <v>0</v>
      </c>
      <c r="K30" s="15">
        <f t="shared" ref="K30" si="10">B30-E30-H30</f>
        <v>400</v>
      </c>
      <c r="L30" s="15">
        <f t="shared" ref="L30" si="11">C30-F30-I30</f>
        <v>40</v>
      </c>
      <c r="M30" s="15">
        <v>0</v>
      </c>
      <c r="N30" s="19">
        <v>650</v>
      </c>
      <c r="O30" s="19">
        <v>0</v>
      </c>
      <c r="P30" s="19">
        <v>0</v>
      </c>
      <c r="Q30" s="15">
        <v>30</v>
      </c>
      <c r="R30" s="19">
        <v>3</v>
      </c>
    </row>
    <row r="31" spans="1:18" ht="15" customHeight="1" x14ac:dyDescent="0.25">
      <c r="A31" s="95">
        <v>25104</v>
      </c>
      <c r="B31" s="14">
        <v>4000</v>
      </c>
      <c r="C31" s="14">
        <v>850</v>
      </c>
      <c r="D31" s="14">
        <v>0</v>
      </c>
      <c r="E31" s="15">
        <v>2200</v>
      </c>
      <c r="F31" s="15">
        <v>200</v>
      </c>
      <c r="G31" s="15">
        <v>0</v>
      </c>
      <c r="H31" s="14">
        <v>1350</v>
      </c>
      <c r="I31" s="14">
        <v>610</v>
      </c>
      <c r="J31" s="14">
        <v>0</v>
      </c>
      <c r="K31" s="15">
        <f t="shared" si="8"/>
        <v>450</v>
      </c>
      <c r="L31" s="15">
        <f t="shared" si="9"/>
        <v>40</v>
      </c>
      <c r="M31" s="15">
        <v>0</v>
      </c>
      <c r="N31" s="19">
        <v>650</v>
      </c>
      <c r="O31" s="19">
        <v>0</v>
      </c>
      <c r="P31" s="19">
        <v>0</v>
      </c>
      <c r="Q31" s="15">
        <v>40</v>
      </c>
      <c r="R31" s="19">
        <v>4</v>
      </c>
    </row>
    <row r="32" spans="1:18" ht="15" customHeight="1" x14ac:dyDescent="0.25">
      <c r="A32" s="95">
        <v>25105</v>
      </c>
      <c r="B32" s="14">
        <v>3000</v>
      </c>
      <c r="C32" s="14">
        <v>850</v>
      </c>
      <c r="D32" s="14">
        <v>0</v>
      </c>
      <c r="E32" s="15">
        <v>1650</v>
      </c>
      <c r="F32" s="15">
        <v>200</v>
      </c>
      <c r="G32" s="15">
        <v>0</v>
      </c>
      <c r="H32" s="14">
        <v>900</v>
      </c>
      <c r="I32" s="14">
        <v>610</v>
      </c>
      <c r="J32" s="14">
        <v>0</v>
      </c>
      <c r="K32" s="15">
        <f t="shared" si="8"/>
        <v>450</v>
      </c>
      <c r="L32" s="15">
        <f t="shared" si="9"/>
        <v>40</v>
      </c>
      <c r="M32" s="15">
        <v>0</v>
      </c>
      <c r="N32" s="19">
        <v>650</v>
      </c>
      <c r="O32" s="19">
        <v>0</v>
      </c>
      <c r="P32" s="19">
        <v>0</v>
      </c>
      <c r="Q32" s="15">
        <v>30</v>
      </c>
      <c r="R32" s="19">
        <v>3</v>
      </c>
    </row>
    <row r="33" spans="1:18" ht="15" customHeight="1" x14ac:dyDescent="0.25">
      <c r="A33" s="95">
        <v>25138</v>
      </c>
      <c r="B33" s="14">
        <v>3000</v>
      </c>
      <c r="C33" s="14">
        <v>850</v>
      </c>
      <c r="D33" s="14">
        <v>0</v>
      </c>
      <c r="E33" s="15">
        <v>1700</v>
      </c>
      <c r="F33" s="15">
        <v>200</v>
      </c>
      <c r="G33" s="15">
        <v>0</v>
      </c>
      <c r="H33" s="14">
        <v>900</v>
      </c>
      <c r="I33" s="14">
        <v>610</v>
      </c>
      <c r="J33" s="14">
        <v>0</v>
      </c>
      <c r="K33" s="15">
        <f t="shared" si="8"/>
        <v>400</v>
      </c>
      <c r="L33" s="15">
        <f t="shared" si="9"/>
        <v>40</v>
      </c>
      <c r="M33" s="15">
        <v>0</v>
      </c>
      <c r="N33" s="19">
        <v>650</v>
      </c>
      <c r="O33" s="19">
        <v>0</v>
      </c>
      <c r="P33" s="19">
        <v>0</v>
      </c>
      <c r="Q33" s="15">
        <v>30</v>
      </c>
      <c r="R33" s="19">
        <v>3</v>
      </c>
    </row>
    <row r="34" spans="1:18" ht="15" customHeight="1" x14ac:dyDescent="0.25">
      <c r="A34" s="95">
        <v>25139</v>
      </c>
      <c r="B34" s="14">
        <v>2000</v>
      </c>
      <c r="C34" s="14">
        <v>850</v>
      </c>
      <c r="D34" s="14">
        <v>0</v>
      </c>
      <c r="E34" s="15">
        <v>1150</v>
      </c>
      <c r="F34" s="15">
        <v>200</v>
      </c>
      <c r="G34" s="15">
        <v>0</v>
      </c>
      <c r="H34" s="14">
        <v>450</v>
      </c>
      <c r="I34" s="14">
        <v>610</v>
      </c>
      <c r="J34" s="14">
        <v>0</v>
      </c>
      <c r="K34" s="15">
        <f t="shared" si="8"/>
        <v>400</v>
      </c>
      <c r="L34" s="15">
        <f t="shared" si="9"/>
        <v>40</v>
      </c>
      <c r="M34" s="15">
        <v>0</v>
      </c>
      <c r="N34" s="19">
        <v>650</v>
      </c>
      <c r="O34" s="19">
        <v>0</v>
      </c>
      <c r="P34" s="19">
        <v>0</v>
      </c>
      <c r="Q34" s="15">
        <v>20</v>
      </c>
      <c r="R34" s="19">
        <v>2</v>
      </c>
    </row>
    <row r="35" spans="1:18" ht="15" customHeight="1" x14ac:dyDescent="0.25">
      <c r="A35" s="95">
        <v>25140</v>
      </c>
      <c r="B35" s="14">
        <v>3000</v>
      </c>
      <c r="C35" s="14">
        <v>850</v>
      </c>
      <c r="D35" s="14">
        <v>0</v>
      </c>
      <c r="E35" s="15">
        <v>1700</v>
      </c>
      <c r="F35" s="15">
        <v>200</v>
      </c>
      <c r="G35" s="15">
        <v>0</v>
      </c>
      <c r="H35" s="14">
        <v>900</v>
      </c>
      <c r="I35" s="14">
        <v>610</v>
      </c>
      <c r="J35" s="14">
        <v>0</v>
      </c>
      <c r="K35" s="15">
        <f t="shared" si="8"/>
        <v>400</v>
      </c>
      <c r="L35" s="15">
        <f t="shared" si="9"/>
        <v>40</v>
      </c>
      <c r="M35" s="15">
        <v>0</v>
      </c>
      <c r="N35" s="19">
        <v>650</v>
      </c>
      <c r="O35" s="19">
        <v>0</v>
      </c>
      <c r="P35" s="19">
        <v>0</v>
      </c>
      <c r="Q35" s="15">
        <v>30</v>
      </c>
      <c r="R35" s="19">
        <v>3</v>
      </c>
    </row>
    <row r="36" spans="1:18" ht="15" customHeight="1" x14ac:dyDescent="0.25">
      <c r="A36" s="95">
        <v>25151</v>
      </c>
      <c r="B36" s="14">
        <v>3000</v>
      </c>
      <c r="C36" s="14">
        <v>850</v>
      </c>
      <c r="D36" s="14">
        <v>0</v>
      </c>
      <c r="E36" s="15">
        <v>1700</v>
      </c>
      <c r="F36" s="15">
        <v>200</v>
      </c>
      <c r="G36" s="15">
        <v>0</v>
      </c>
      <c r="H36" s="14">
        <v>900</v>
      </c>
      <c r="I36" s="14">
        <v>610</v>
      </c>
      <c r="J36" s="14">
        <v>0</v>
      </c>
      <c r="K36" s="15">
        <f t="shared" si="8"/>
        <v>400</v>
      </c>
      <c r="L36" s="15">
        <f t="shared" si="9"/>
        <v>40</v>
      </c>
      <c r="M36" s="15">
        <v>0</v>
      </c>
      <c r="N36" s="19">
        <v>650</v>
      </c>
      <c r="O36" s="19">
        <v>0</v>
      </c>
      <c r="P36" s="19">
        <v>0</v>
      </c>
      <c r="Q36" s="15">
        <v>30</v>
      </c>
      <c r="R36" s="19">
        <v>3</v>
      </c>
    </row>
    <row r="37" spans="1:18" ht="15" customHeight="1" x14ac:dyDescent="0.25">
      <c r="A37" s="95">
        <v>25155</v>
      </c>
      <c r="B37" s="14">
        <v>2000</v>
      </c>
      <c r="C37" s="14">
        <v>850</v>
      </c>
      <c r="D37" s="14">
        <v>0</v>
      </c>
      <c r="E37" s="15">
        <v>1025</v>
      </c>
      <c r="F37" s="15">
        <v>200</v>
      </c>
      <c r="G37" s="15">
        <v>0</v>
      </c>
      <c r="H37" s="14">
        <v>450</v>
      </c>
      <c r="I37" s="14">
        <v>610</v>
      </c>
      <c r="J37" s="14">
        <v>0</v>
      </c>
      <c r="K37" s="15">
        <f t="shared" si="8"/>
        <v>525</v>
      </c>
      <c r="L37" s="15">
        <f t="shared" si="9"/>
        <v>40</v>
      </c>
      <c r="M37" s="15">
        <v>0</v>
      </c>
      <c r="N37" s="19">
        <v>615</v>
      </c>
      <c r="O37" s="19">
        <v>0</v>
      </c>
      <c r="P37" s="19">
        <v>0</v>
      </c>
      <c r="Q37" s="15">
        <v>20</v>
      </c>
      <c r="R37" s="19">
        <v>2</v>
      </c>
    </row>
    <row r="38" spans="1:18" ht="15" customHeight="1" x14ac:dyDescent="0.25">
      <c r="A38" s="95">
        <v>25166</v>
      </c>
      <c r="B38" s="14">
        <v>1000</v>
      </c>
      <c r="C38" s="14">
        <v>850</v>
      </c>
      <c r="D38" s="14">
        <v>0</v>
      </c>
      <c r="E38" s="15">
        <v>615</v>
      </c>
      <c r="F38" s="15">
        <v>200</v>
      </c>
      <c r="G38" s="15">
        <v>0</v>
      </c>
      <c r="H38" s="14">
        <v>250</v>
      </c>
      <c r="I38" s="14">
        <v>610</v>
      </c>
      <c r="J38" s="14">
        <v>0</v>
      </c>
      <c r="K38" s="15">
        <f t="shared" si="8"/>
        <v>135</v>
      </c>
      <c r="L38" s="15">
        <f t="shared" si="9"/>
        <v>40</v>
      </c>
      <c r="M38" s="15">
        <v>0</v>
      </c>
      <c r="N38" s="19">
        <v>615</v>
      </c>
      <c r="O38" s="19">
        <v>0</v>
      </c>
      <c r="P38" s="19">
        <v>0</v>
      </c>
      <c r="Q38" s="15">
        <v>10</v>
      </c>
      <c r="R38" s="19">
        <v>1</v>
      </c>
    </row>
    <row r="39" spans="1:18" ht="15" customHeight="1" x14ac:dyDescent="0.25">
      <c r="A39" s="95">
        <v>25167</v>
      </c>
      <c r="B39" s="14">
        <v>1000</v>
      </c>
      <c r="C39" s="14">
        <v>850</v>
      </c>
      <c r="D39" s="14">
        <v>0</v>
      </c>
      <c r="E39" s="15">
        <v>615</v>
      </c>
      <c r="F39" s="15">
        <v>200</v>
      </c>
      <c r="G39" s="15">
        <v>0</v>
      </c>
      <c r="H39" s="14">
        <v>250</v>
      </c>
      <c r="I39" s="14">
        <v>610</v>
      </c>
      <c r="J39" s="14">
        <v>0</v>
      </c>
      <c r="K39" s="15">
        <f t="shared" si="8"/>
        <v>135</v>
      </c>
      <c r="L39" s="15">
        <f t="shared" si="9"/>
        <v>40</v>
      </c>
      <c r="M39" s="15">
        <v>0</v>
      </c>
      <c r="N39" s="19">
        <v>615</v>
      </c>
      <c r="O39" s="19">
        <v>0</v>
      </c>
      <c r="P39" s="19">
        <v>0</v>
      </c>
      <c r="Q39" s="15">
        <v>10</v>
      </c>
      <c r="R39" s="19">
        <v>2</v>
      </c>
    </row>
    <row r="40" spans="1:18" ht="15" customHeight="1" x14ac:dyDescent="0.25">
      <c r="A40" s="95">
        <v>25297</v>
      </c>
      <c r="B40" s="14">
        <v>4000</v>
      </c>
      <c r="C40" s="14">
        <v>850</v>
      </c>
      <c r="D40" s="14">
        <v>0</v>
      </c>
      <c r="E40" s="15">
        <v>2200</v>
      </c>
      <c r="F40" s="15">
        <v>200</v>
      </c>
      <c r="G40" s="15">
        <v>0</v>
      </c>
      <c r="H40" s="14">
        <v>1350</v>
      </c>
      <c r="I40" s="14">
        <v>610</v>
      </c>
      <c r="J40" s="14">
        <v>0</v>
      </c>
      <c r="K40" s="15">
        <f t="shared" si="8"/>
        <v>450</v>
      </c>
      <c r="L40" s="15">
        <f t="shared" si="9"/>
        <v>40</v>
      </c>
      <c r="M40" s="15">
        <v>0</v>
      </c>
      <c r="N40" s="19">
        <v>650</v>
      </c>
      <c r="O40" s="19">
        <v>0</v>
      </c>
      <c r="P40" s="19">
        <v>0</v>
      </c>
      <c r="Q40" s="15">
        <v>40</v>
      </c>
      <c r="R40" s="19">
        <v>4</v>
      </c>
    </row>
    <row r="41" spans="1:18" ht="15" customHeight="1" x14ac:dyDescent="0.25">
      <c r="A41" s="95">
        <v>25498</v>
      </c>
      <c r="B41" s="14">
        <v>1000</v>
      </c>
      <c r="C41" s="14">
        <v>850</v>
      </c>
      <c r="D41" s="14">
        <v>0</v>
      </c>
      <c r="E41" s="15">
        <v>600</v>
      </c>
      <c r="F41" s="15">
        <v>200</v>
      </c>
      <c r="G41" s="15">
        <v>0</v>
      </c>
      <c r="H41" s="14">
        <v>400</v>
      </c>
      <c r="I41" s="14">
        <v>610</v>
      </c>
      <c r="J41" s="14">
        <v>0</v>
      </c>
      <c r="K41" s="15">
        <f t="shared" ref="K41" si="12">B41-E41-H41</f>
        <v>0</v>
      </c>
      <c r="L41" s="15">
        <f t="shared" ref="L41" si="13">C41-F41-I41</f>
        <v>40</v>
      </c>
      <c r="M41" s="15">
        <v>0</v>
      </c>
      <c r="N41" s="19">
        <v>600</v>
      </c>
      <c r="O41" s="19">
        <v>0</v>
      </c>
      <c r="P41" s="19">
        <v>0</v>
      </c>
      <c r="Q41" s="15">
        <v>10</v>
      </c>
      <c r="R41" s="19">
        <v>1</v>
      </c>
    </row>
    <row r="42" spans="1:18" ht="15" customHeight="1" x14ac:dyDescent="0.25">
      <c r="A42" s="95">
        <v>25499</v>
      </c>
      <c r="B42" s="14">
        <v>1000</v>
      </c>
      <c r="C42" s="14">
        <v>850</v>
      </c>
      <c r="D42" s="14">
        <v>0</v>
      </c>
      <c r="E42" s="15">
        <v>600</v>
      </c>
      <c r="F42" s="15">
        <v>200</v>
      </c>
      <c r="G42" s="15">
        <v>0</v>
      </c>
      <c r="H42" s="14">
        <v>400</v>
      </c>
      <c r="I42" s="14">
        <v>610</v>
      </c>
      <c r="J42" s="14">
        <v>0</v>
      </c>
      <c r="K42" s="15">
        <f t="shared" si="8"/>
        <v>0</v>
      </c>
      <c r="L42" s="15">
        <f t="shared" si="9"/>
        <v>40</v>
      </c>
      <c r="M42" s="15">
        <v>0</v>
      </c>
      <c r="N42" s="19">
        <v>600</v>
      </c>
      <c r="O42" s="19">
        <v>0</v>
      </c>
      <c r="P42" s="19">
        <v>0</v>
      </c>
      <c r="Q42" s="15">
        <v>10</v>
      </c>
      <c r="R42" s="19">
        <v>1</v>
      </c>
    </row>
    <row r="43" spans="1:18" ht="15" customHeight="1" x14ac:dyDescent="0.25">
      <c r="A43" s="95">
        <v>25573</v>
      </c>
      <c r="B43" s="14">
        <v>2000</v>
      </c>
      <c r="C43" s="14">
        <v>850</v>
      </c>
      <c r="D43" s="14">
        <v>0</v>
      </c>
      <c r="E43" s="15">
        <v>1150</v>
      </c>
      <c r="F43" s="15">
        <v>200</v>
      </c>
      <c r="G43" s="15">
        <v>0</v>
      </c>
      <c r="H43" s="14">
        <v>450</v>
      </c>
      <c r="I43" s="14">
        <v>610</v>
      </c>
      <c r="J43" s="14">
        <v>0</v>
      </c>
      <c r="K43" s="15">
        <f t="shared" si="8"/>
        <v>400</v>
      </c>
      <c r="L43" s="15">
        <f t="shared" si="9"/>
        <v>40</v>
      </c>
      <c r="M43" s="15">
        <v>0</v>
      </c>
      <c r="N43" s="19">
        <v>650</v>
      </c>
      <c r="O43" s="19">
        <v>0</v>
      </c>
      <c r="P43" s="19">
        <v>0</v>
      </c>
      <c r="Q43" s="15">
        <v>20</v>
      </c>
      <c r="R43" s="19">
        <v>2</v>
      </c>
    </row>
    <row r="44" spans="1:18" ht="15" customHeight="1" x14ac:dyDescent="0.25">
      <c r="A44" s="95">
        <v>25574</v>
      </c>
      <c r="B44" s="14">
        <v>3000</v>
      </c>
      <c r="C44" s="14">
        <v>850</v>
      </c>
      <c r="D44" s="14">
        <v>0</v>
      </c>
      <c r="E44" s="15">
        <v>1700</v>
      </c>
      <c r="F44" s="15">
        <v>200</v>
      </c>
      <c r="G44" s="15">
        <v>0</v>
      </c>
      <c r="H44" s="14">
        <v>900</v>
      </c>
      <c r="I44" s="14">
        <v>610</v>
      </c>
      <c r="J44" s="14">
        <v>0</v>
      </c>
      <c r="K44" s="15">
        <f t="shared" si="8"/>
        <v>400</v>
      </c>
      <c r="L44" s="15">
        <f t="shared" si="9"/>
        <v>40</v>
      </c>
      <c r="M44" s="15">
        <v>0</v>
      </c>
      <c r="N44" s="19">
        <v>650</v>
      </c>
      <c r="O44" s="19">
        <v>0</v>
      </c>
      <c r="P44" s="19">
        <v>0</v>
      </c>
      <c r="Q44" s="15">
        <v>30</v>
      </c>
      <c r="R44" s="19">
        <v>3</v>
      </c>
    </row>
    <row r="45" spans="1:18" ht="15" customHeight="1" x14ac:dyDescent="0.25">
      <c r="A45" s="95">
        <v>25605</v>
      </c>
      <c r="B45" s="14">
        <v>3000</v>
      </c>
      <c r="C45" s="14">
        <v>850</v>
      </c>
      <c r="D45" s="14">
        <v>0</v>
      </c>
      <c r="E45" s="15">
        <v>1675</v>
      </c>
      <c r="F45" s="15">
        <v>200</v>
      </c>
      <c r="G45" s="15">
        <v>0</v>
      </c>
      <c r="H45" s="14">
        <v>870</v>
      </c>
      <c r="I45" s="14">
        <v>610</v>
      </c>
      <c r="J45" s="14">
        <v>0</v>
      </c>
      <c r="K45" s="15">
        <f t="shared" si="8"/>
        <v>455</v>
      </c>
      <c r="L45" s="15">
        <v>116</v>
      </c>
      <c r="M45" s="15">
        <v>0</v>
      </c>
      <c r="N45" s="19">
        <v>900</v>
      </c>
      <c r="O45" s="19">
        <v>0</v>
      </c>
      <c r="P45" s="19">
        <v>0</v>
      </c>
      <c r="Q45" s="15">
        <v>29</v>
      </c>
      <c r="R45" s="19">
        <v>3</v>
      </c>
    </row>
    <row r="46" spans="1:18" ht="15" customHeight="1" x14ac:dyDescent="0.25">
      <c r="A46" s="95">
        <v>25606</v>
      </c>
      <c r="B46" s="14">
        <v>3000</v>
      </c>
      <c r="C46" s="14">
        <v>850</v>
      </c>
      <c r="D46" s="14">
        <v>0</v>
      </c>
      <c r="E46" s="15">
        <v>1700</v>
      </c>
      <c r="F46" s="15">
        <v>200</v>
      </c>
      <c r="G46" s="15">
        <v>0</v>
      </c>
      <c r="H46" s="14">
        <v>900</v>
      </c>
      <c r="I46" s="14">
        <v>610</v>
      </c>
      <c r="J46" s="14">
        <v>0</v>
      </c>
      <c r="K46" s="15">
        <f t="shared" si="8"/>
        <v>400</v>
      </c>
      <c r="L46" s="15">
        <f t="shared" si="9"/>
        <v>40</v>
      </c>
      <c r="M46" s="15">
        <v>0</v>
      </c>
      <c r="N46" s="19">
        <v>900</v>
      </c>
      <c r="O46" s="19">
        <v>0</v>
      </c>
      <c r="P46" s="19">
        <v>0</v>
      </c>
      <c r="Q46" s="15">
        <v>30</v>
      </c>
      <c r="R46" s="19">
        <v>3</v>
      </c>
    </row>
    <row r="47" spans="1:18" ht="15" customHeight="1" x14ac:dyDescent="0.25">
      <c r="A47" s="95">
        <v>25607</v>
      </c>
      <c r="B47" s="14">
        <v>1500</v>
      </c>
      <c r="C47" s="14">
        <v>850</v>
      </c>
      <c r="D47" s="14">
        <v>0</v>
      </c>
      <c r="E47" s="15">
        <v>850</v>
      </c>
      <c r="F47" s="15">
        <v>200</v>
      </c>
      <c r="G47" s="15">
        <v>0</v>
      </c>
      <c r="H47" s="14">
        <v>450</v>
      </c>
      <c r="I47" s="14">
        <v>610</v>
      </c>
      <c r="J47" s="14">
        <v>0</v>
      </c>
      <c r="K47" s="15">
        <f t="shared" si="8"/>
        <v>200</v>
      </c>
      <c r="L47" s="15">
        <f t="shared" si="9"/>
        <v>40</v>
      </c>
      <c r="M47" s="15">
        <v>0</v>
      </c>
      <c r="N47" s="19">
        <v>700</v>
      </c>
      <c r="O47" s="19">
        <v>0</v>
      </c>
      <c r="P47" s="19">
        <v>0</v>
      </c>
      <c r="Q47" s="15">
        <v>15</v>
      </c>
      <c r="R47" s="19">
        <v>2</v>
      </c>
    </row>
    <row r="48" spans="1:18" ht="15" customHeight="1" x14ac:dyDescent="0.25">
      <c r="A48" s="95">
        <v>25608</v>
      </c>
      <c r="B48" s="14">
        <v>3000</v>
      </c>
      <c r="C48" s="14">
        <v>850</v>
      </c>
      <c r="D48" s="14">
        <v>0</v>
      </c>
      <c r="E48" s="15">
        <v>1750</v>
      </c>
      <c r="F48" s="15">
        <v>200</v>
      </c>
      <c r="G48" s="15">
        <v>0</v>
      </c>
      <c r="H48" s="14">
        <v>450</v>
      </c>
      <c r="I48" s="14">
        <v>610</v>
      </c>
      <c r="J48" s="14">
        <v>0</v>
      </c>
      <c r="K48" s="15">
        <f t="shared" si="8"/>
        <v>800</v>
      </c>
      <c r="L48" s="15">
        <f t="shared" si="9"/>
        <v>40</v>
      </c>
      <c r="M48" s="15">
        <v>0</v>
      </c>
      <c r="N48" s="19">
        <v>700</v>
      </c>
      <c r="O48" s="19">
        <v>0</v>
      </c>
      <c r="P48" s="19">
        <v>0</v>
      </c>
      <c r="Q48" s="15">
        <v>30</v>
      </c>
      <c r="R48" s="19">
        <v>3</v>
      </c>
    </row>
    <row r="49" spans="1:19" ht="15" customHeight="1" x14ac:dyDescent="0.25">
      <c r="A49" s="95">
        <v>25655</v>
      </c>
      <c r="B49" s="14">
        <v>4000</v>
      </c>
      <c r="C49" s="14">
        <v>850</v>
      </c>
      <c r="D49" s="14">
        <v>0</v>
      </c>
      <c r="E49" s="15">
        <v>0</v>
      </c>
      <c r="F49" s="15">
        <v>200</v>
      </c>
      <c r="G49" s="15">
        <v>0</v>
      </c>
      <c r="H49" s="14">
        <v>0</v>
      </c>
      <c r="I49" s="14">
        <v>610</v>
      </c>
      <c r="J49" s="14">
        <v>0</v>
      </c>
      <c r="K49" s="15">
        <f t="shared" si="8"/>
        <v>4000</v>
      </c>
      <c r="L49" s="15">
        <f t="shared" si="9"/>
        <v>40</v>
      </c>
      <c r="M49" s="15">
        <v>0</v>
      </c>
      <c r="N49" s="19">
        <v>700</v>
      </c>
      <c r="O49" s="19">
        <v>0</v>
      </c>
      <c r="P49" s="19">
        <v>0</v>
      </c>
      <c r="Q49" s="15">
        <v>40</v>
      </c>
      <c r="R49" s="19">
        <v>4</v>
      </c>
    </row>
    <row r="50" spans="1:19" ht="15" customHeight="1" x14ac:dyDescent="0.25">
      <c r="A50" s="95">
        <v>25656</v>
      </c>
      <c r="B50" s="14">
        <v>2800</v>
      </c>
      <c r="C50" s="14">
        <v>850</v>
      </c>
      <c r="D50" s="14">
        <v>0</v>
      </c>
      <c r="E50" s="15">
        <v>1500</v>
      </c>
      <c r="F50" s="15">
        <v>600</v>
      </c>
      <c r="G50" s="15">
        <v>0</v>
      </c>
      <c r="H50" s="14">
        <v>1300</v>
      </c>
      <c r="I50" s="14">
        <v>610</v>
      </c>
      <c r="J50" s="14">
        <v>0</v>
      </c>
      <c r="K50" s="15">
        <f t="shared" si="8"/>
        <v>0</v>
      </c>
      <c r="L50" s="15">
        <v>200</v>
      </c>
      <c r="M50" s="15">
        <v>0</v>
      </c>
      <c r="N50" s="19">
        <v>700</v>
      </c>
      <c r="O50" s="19">
        <v>0</v>
      </c>
      <c r="P50" s="19">
        <v>0</v>
      </c>
      <c r="Q50" s="15">
        <v>28</v>
      </c>
      <c r="R50" s="19">
        <v>2.8</v>
      </c>
      <c r="S50" s="1">
        <v>150</v>
      </c>
    </row>
    <row r="51" spans="1:19" ht="15" customHeight="1" x14ac:dyDescent="0.25">
      <c r="A51" s="95">
        <v>25690</v>
      </c>
      <c r="B51" s="14">
        <v>2000</v>
      </c>
      <c r="C51" s="14">
        <v>850</v>
      </c>
      <c r="D51" s="14">
        <v>0</v>
      </c>
      <c r="E51" s="15">
        <v>1150</v>
      </c>
      <c r="F51" s="15">
        <v>200</v>
      </c>
      <c r="G51" s="15">
        <v>0</v>
      </c>
      <c r="H51" s="14">
        <v>550</v>
      </c>
      <c r="I51" s="14">
        <v>610</v>
      </c>
      <c r="J51" s="14">
        <v>0</v>
      </c>
      <c r="K51" s="15">
        <f t="shared" si="8"/>
        <v>300</v>
      </c>
      <c r="L51" s="15">
        <f t="shared" ref="L51" si="14">C51-F51-I51</f>
        <v>40</v>
      </c>
      <c r="M51" s="15">
        <v>0</v>
      </c>
      <c r="N51" s="19">
        <v>600</v>
      </c>
      <c r="O51" s="19">
        <v>0</v>
      </c>
      <c r="P51" s="19">
        <v>0</v>
      </c>
      <c r="Q51" s="15">
        <v>20</v>
      </c>
      <c r="R51" s="19">
        <v>2</v>
      </c>
    </row>
    <row r="52" spans="1:19" ht="15" customHeight="1" x14ac:dyDescent="0.25">
      <c r="A52" s="95">
        <v>25691</v>
      </c>
      <c r="B52" s="14">
        <v>2000</v>
      </c>
      <c r="C52" s="14">
        <v>850</v>
      </c>
      <c r="D52" s="14">
        <v>0</v>
      </c>
      <c r="E52" s="15">
        <v>1150</v>
      </c>
      <c r="F52" s="15">
        <v>200</v>
      </c>
      <c r="G52" s="15">
        <v>0</v>
      </c>
      <c r="H52" s="14">
        <v>550</v>
      </c>
      <c r="I52" s="14">
        <v>610</v>
      </c>
      <c r="J52" s="14">
        <v>0</v>
      </c>
      <c r="K52" s="15">
        <f t="shared" ref="K52:K78" si="15">B52-E52-H52</f>
        <v>300</v>
      </c>
      <c r="L52" s="15">
        <f t="shared" ref="L52:L62" si="16">C52-F52-I52</f>
        <v>40</v>
      </c>
      <c r="M52" s="15">
        <v>0</v>
      </c>
      <c r="N52" s="19">
        <v>600</v>
      </c>
      <c r="O52" s="19">
        <v>0</v>
      </c>
      <c r="P52" s="19">
        <v>0</v>
      </c>
      <c r="Q52" s="15">
        <v>20</v>
      </c>
      <c r="R52" s="19">
        <v>2</v>
      </c>
    </row>
    <row r="53" spans="1:19" ht="15" customHeight="1" x14ac:dyDescent="0.25">
      <c r="A53" s="95">
        <v>25698</v>
      </c>
      <c r="B53" s="14">
        <v>3000</v>
      </c>
      <c r="C53" s="14">
        <v>850</v>
      </c>
      <c r="D53" s="14">
        <v>0</v>
      </c>
      <c r="E53" s="15">
        <v>1540</v>
      </c>
      <c r="F53" s="15">
        <v>200</v>
      </c>
      <c r="G53" s="15">
        <v>0</v>
      </c>
      <c r="H53" s="14">
        <v>1060</v>
      </c>
      <c r="I53" s="14">
        <v>610</v>
      </c>
      <c r="J53" s="14">
        <v>0</v>
      </c>
      <c r="K53" s="15">
        <f t="shared" si="15"/>
        <v>400</v>
      </c>
      <c r="L53" s="15">
        <f t="shared" si="16"/>
        <v>40</v>
      </c>
      <c r="M53" s="15">
        <v>0</v>
      </c>
      <c r="N53" s="19">
        <v>650</v>
      </c>
      <c r="O53" s="19">
        <v>0</v>
      </c>
      <c r="P53" s="19">
        <v>0</v>
      </c>
      <c r="Q53" s="15">
        <v>30</v>
      </c>
      <c r="R53" s="19">
        <v>3</v>
      </c>
    </row>
    <row r="54" spans="1:19" ht="15" customHeight="1" x14ac:dyDescent="0.25">
      <c r="A54" s="95">
        <v>25723</v>
      </c>
      <c r="B54" s="14">
        <v>3000</v>
      </c>
      <c r="C54" s="14">
        <v>850</v>
      </c>
      <c r="D54" s="14">
        <v>0</v>
      </c>
      <c r="E54" s="15">
        <v>1700</v>
      </c>
      <c r="F54" s="15">
        <v>200</v>
      </c>
      <c r="G54" s="15">
        <v>0</v>
      </c>
      <c r="H54" s="14">
        <v>900</v>
      </c>
      <c r="I54" s="14">
        <v>610</v>
      </c>
      <c r="J54" s="14">
        <v>0</v>
      </c>
      <c r="K54" s="15">
        <f t="shared" ref="K54" si="17">B54-E54-H54</f>
        <v>400</v>
      </c>
      <c r="L54" s="15">
        <f t="shared" ref="L54" si="18">C54-F54-I54</f>
        <v>40</v>
      </c>
      <c r="M54" s="15">
        <v>0</v>
      </c>
      <c r="N54" s="19">
        <v>650</v>
      </c>
      <c r="O54" s="19">
        <v>0</v>
      </c>
      <c r="P54" s="19">
        <v>0</v>
      </c>
      <c r="Q54" s="15">
        <v>30</v>
      </c>
      <c r="R54" s="19">
        <v>3</v>
      </c>
    </row>
    <row r="55" spans="1:19" ht="15" customHeight="1" x14ac:dyDescent="0.25">
      <c r="A55" s="95">
        <v>25725</v>
      </c>
      <c r="B55" s="14">
        <v>3000</v>
      </c>
      <c r="C55" s="14">
        <v>850</v>
      </c>
      <c r="D55" s="14">
        <v>0</v>
      </c>
      <c r="E55" s="15">
        <v>1700</v>
      </c>
      <c r="F55" s="15">
        <v>200</v>
      </c>
      <c r="G55" s="15">
        <v>0</v>
      </c>
      <c r="H55" s="14">
        <v>900</v>
      </c>
      <c r="I55" s="14">
        <v>610</v>
      </c>
      <c r="J55" s="14">
        <v>0</v>
      </c>
      <c r="K55" s="15">
        <f t="shared" si="15"/>
        <v>400</v>
      </c>
      <c r="L55" s="15">
        <f t="shared" si="16"/>
        <v>40</v>
      </c>
      <c r="M55" s="15">
        <v>0</v>
      </c>
      <c r="N55" s="19">
        <v>650</v>
      </c>
      <c r="O55" s="19">
        <v>0</v>
      </c>
      <c r="P55" s="19">
        <v>0</v>
      </c>
      <c r="Q55" s="15">
        <v>30</v>
      </c>
      <c r="R55" s="19">
        <v>3</v>
      </c>
    </row>
    <row r="56" spans="1:19" ht="15" customHeight="1" x14ac:dyDescent="0.25">
      <c r="A56" s="95">
        <v>25726</v>
      </c>
      <c r="B56" s="14">
        <v>3000</v>
      </c>
      <c r="C56" s="14">
        <v>850</v>
      </c>
      <c r="D56" s="14">
        <v>0</v>
      </c>
      <c r="E56" s="15">
        <v>1700</v>
      </c>
      <c r="F56" s="15">
        <v>200</v>
      </c>
      <c r="G56" s="15">
        <v>0</v>
      </c>
      <c r="H56" s="14">
        <v>900</v>
      </c>
      <c r="I56" s="14">
        <v>610</v>
      </c>
      <c r="J56" s="14">
        <v>0</v>
      </c>
      <c r="K56" s="15">
        <f t="shared" si="15"/>
        <v>400</v>
      </c>
      <c r="L56" s="15">
        <f t="shared" si="16"/>
        <v>40</v>
      </c>
      <c r="M56" s="15">
        <v>0</v>
      </c>
      <c r="N56" s="19">
        <v>650</v>
      </c>
      <c r="O56" s="19">
        <v>0</v>
      </c>
      <c r="P56" s="19">
        <v>0</v>
      </c>
      <c r="Q56" s="15">
        <v>30</v>
      </c>
      <c r="R56" s="19">
        <v>3</v>
      </c>
    </row>
    <row r="57" spans="1:19" ht="15" customHeight="1" x14ac:dyDescent="0.25">
      <c r="A57" s="95">
        <v>25727</v>
      </c>
      <c r="B57" s="14">
        <v>3000</v>
      </c>
      <c r="C57" s="14">
        <v>850</v>
      </c>
      <c r="D57" s="14">
        <v>0</v>
      </c>
      <c r="E57" s="15">
        <v>1700</v>
      </c>
      <c r="F57" s="15">
        <v>200</v>
      </c>
      <c r="G57" s="15">
        <v>0</v>
      </c>
      <c r="H57" s="14">
        <v>900</v>
      </c>
      <c r="I57" s="14">
        <v>610</v>
      </c>
      <c r="J57" s="14">
        <v>0</v>
      </c>
      <c r="K57" s="15">
        <f t="shared" si="15"/>
        <v>400</v>
      </c>
      <c r="L57" s="15">
        <f t="shared" si="16"/>
        <v>40</v>
      </c>
      <c r="M57" s="15">
        <v>0</v>
      </c>
      <c r="N57" s="19">
        <v>650</v>
      </c>
      <c r="O57" s="19">
        <v>0</v>
      </c>
      <c r="P57" s="19">
        <v>0</v>
      </c>
      <c r="Q57" s="15">
        <v>30</v>
      </c>
      <c r="R57" s="19">
        <v>3</v>
      </c>
    </row>
    <row r="58" spans="1:19" ht="15" customHeight="1" x14ac:dyDescent="0.25">
      <c r="A58" s="95">
        <v>25728</v>
      </c>
      <c r="B58" s="14">
        <v>3000</v>
      </c>
      <c r="C58" s="14">
        <v>850</v>
      </c>
      <c r="D58" s="14">
        <v>0</v>
      </c>
      <c r="E58" s="15">
        <v>1700</v>
      </c>
      <c r="F58" s="15">
        <v>200</v>
      </c>
      <c r="G58" s="15">
        <v>0</v>
      </c>
      <c r="H58" s="14">
        <v>900</v>
      </c>
      <c r="I58" s="14">
        <v>610</v>
      </c>
      <c r="J58" s="14">
        <v>0</v>
      </c>
      <c r="K58" s="15">
        <f t="shared" si="15"/>
        <v>400</v>
      </c>
      <c r="L58" s="15">
        <f t="shared" si="16"/>
        <v>40</v>
      </c>
      <c r="M58" s="15">
        <v>0</v>
      </c>
      <c r="N58" s="19">
        <v>650</v>
      </c>
      <c r="O58" s="19">
        <v>0</v>
      </c>
      <c r="P58" s="19">
        <v>0</v>
      </c>
      <c r="Q58" s="15">
        <v>30</v>
      </c>
      <c r="R58" s="19">
        <v>3</v>
      </c>
    </row>
    <row r="59" spans="1:19" ht="15" customHeight="1" x14ac:dyDescent="0.25">
      <c r="A59" s="95">
        <v>25779</v>
      </c>
      <c r="B59" s="14">
        <v>3000</v>
      </c>
      <c r="C59" s="14">
        <v>2600</v>
      </c>
      <c r="D59" s="14">
        <v>0</v>
      </c>
      <c r="E59" s="15">
        <v>1700</v>
      </c>
      <c r="F59" s="15">
        <v>300</v>
      </c>
      <c r="G59" s="15">
        <v>0</v>
      </c>
      <c r="H59" s="14">
        <v>900</v>
      </c>
      <c r="I59" s="14">
        <v>2300</v>
      </c>
      <c r="J59" s="14">
        <v>0</v>
      </c>
      <c r="K59" s="15">
        <f t="shared" ref="K59:K60" si="19">B59-E59-H59</f>
        <v>400</v>
      </c>
      <c r="L59" s="15">
        <f t="shared" ref="L59:L60" si="20">C59-F59-I59</f>
        <v>0</v>
      </c>
      <c r="M59" s="15">
        <v>0</v>
      </c>
      <c r="N59" s="19">
        <v>650</v>
      </c>
      <c r="O59" s="19">
        <v>0</v>
      </c>
      <c r="P59" s="19">
        <v>0</v>
      </c>
      <c r="Q59" s="15">
        <v>30</v>
      </c>
      <c r="R59" s="19">
        <v>3</v>
      </c>
    </row>
    <row r="60" spans="1:19" ht="15" customHeight="1" x14ac:dyDescent="0.25">
      <c r="A60" s="95">
        <v>25780</v>
      </c>
      <c r="B60" s="14">
        <v>3000</v>
      </c>
      <c r="C60" s="14">
        <v>2600</v>
      </c>
      <c r="D60" s="14">
        <v>0</v>
      </c>
      <c r="E60" s="15">
        <v>1700</v>
      </c>
      <c r="F60" s="15">
        <v>300</v>
      </c>
      <c r="G60" s="15">
        <v>0</v>
      </c>
      <c r="H60" s="14">
        <v>900</v>
      </c>
      <c r="I60" s="14">
        <v>2300</v>
      </c>
      <c r="J60" s="14">
        <v>0</v>
      </c>
      <c r="K60" s="15">
        <f t="shared" si="19"/>
        <v>400</v>
      </c>
      <c r="L60" s="15">
        <f t="shared" si="20"/>
        <v>0</v>
      </c>
      <c r="M60" s="15">
        <v>0</v>
      </c>
      <c r="N60" s="19">
        <v>650</v>
      </c>
      <c r="O60" s="19">
        <v>0</v>
      </c>
      <c r="P60" s="19">
        <v>0</v>
      </c>
      <c r="Q60" s="15">
        <v>30</v>
      </c>
      <c r="R60" s="19">
        <v>3</v>
      </c>
    </row>
    <row r="61" spans="1:19" ht="15" customHeight="1" x14ac:dyDescent="0.25">
      <c r="A61" s="95">
        <v>25807</v>
      </c>
      <c r="B61" s="14">
        <v>1000</v>
      </c>
      <c r="C61" s="14">
        <v>850</v>
      </c>
      <c r="D61" s="14">
        <v>0</v>
      </c>
      <c r="E61" s="15">
        <v>1025</v>
      </c>
      <c r="F61" s="15">
        <v>200</v>
      </c>
      <c r="G61" s="15">
        <v>0</v>
      </c>
      <c r="H61" s="14">
        <v>250</v>
      </c>
      <c r="I61" s="14">
        <v>610</v>
      </c>
      <c r="J61" s="14">
        <v>0</v>
      </c>
      <c r="K61" s="15">
        <f t="shared" si="15"/>
        <v>-275</v>
      </c>
      <c r="L61" s="15">
        <f t="shared" si="16"/>
        <v>40</v>
      </c>
      <c r="M61" s="15">
        <v>0</v>
      </c>
      <c r="N61" s="19">
        <v>615</v>
      </c>
      <c r="O61" s="19">
        <v>0</v>
      </c>
      <c r="P61" s="19">
        <v>0</v>
      </c>
      <c r="Q61" s="15">
        <v>10</v>
      </c>
      <c r="R61" s="19">
        <v>1</v>
      </c>
    </row>
    <row r="62" spans="1:19" ht="15" customHeight="1" x14ac:dyDescent="0.25">
      <c r="A62" s="95">
        <v>25808</v>
      </c>
      <c r="B62" s="14">
        <v>1000</v>
      </c>
      <c r="C62" s="14">
        <v>850</v>
      </c>
      <c r="D62" s="14">
        <v>0</v>
      </c>
      <c r="E62" s="15">
        <v>1025</v>
      </c>
      <c r="F62" s="15">
        <v>200</v>
      </c>
      <c r="G62" s="15">
        <v>0</v>
      </c>
      <c r="H62" s="14">
        <v>250</v>
      </c>
      <c r="I62" s="14">
        <v>610</v>
      </c>
      <c r="J62" s="14">
        <v>0</v>
      </c>
      <c r="K62" s="15">
        <f t="shared" si="15"/>
        <v>-275</v>
      </c>
      <c r="L62" s="15">
        <f t="shared" si="16"/>
        <v>40</v>
      </c>
      <c r="M62" s="15">
        <v>0</v>
      </c>
      <c r="N62" s="19">
        <v>615</v>
      </c>
      <c r="O62" s="19">
        <v>0</v>
      </c>
      <c r="P62" s="19">
        <v>0</v>
      </c>
      <c r="Q62" s="15">
        <v>10</v>
      </c>
      <c r="R62" s="19">
        <v>1</v>
      </c>
    </row>
    <row r="63" spans="1:19" ht="15" customHeight="1" x14ac:dyDescent="0.25">
      <c r="A63" s="95">
        <v>25809</v>
      </c>
      <c r="B63" s="14">
        <v>2000</v>
      </c>
      <c r="C63" s="14">
        <v>850</v>
      </c>
      <c r="D63" s="14">
        <v>0</v>
      </c>
      <c r="E63" s="15">
        <v>1025</v>
      </c>
      <c r="F63" s="15">
        <v>200</v>
      </c>
      <c r="G63" s="15">
        <v>0</v>
      </c>
      <c r="H63" s="14">
        <v>450</v>
      </c>
      <c r="I63" s="14">
        <v>610</v>
      </c>
      <c r="J63" s="14">
        <v>0</v>
      </c>
      <c r="K63" s="15">
        <f t="shared" si="15"/>
        <v>525</v>
      </c>
      <c r="L63" s="15">
        <v>40</v>
      </c>
      <c r="M63" s="15">
        <v>0</v>
      </c>
      <c r="N63" s="19">
        <v>615</v>
      </c>
      <c r="O63" s="19">
        <v>0</v>
      </c>
      <c r="P63" s="19">
        <v>0</v>
      </c>
      <c r="Q63" s="15">
        <v>20</v>
      </c>
      <c r="R63" s="19">
        <v>2</v>
      </c>
    </row>
    <row r="64" spans="1:19" ht="15" customHeight="1" x14ac:dyDescent="0.25">
      <c r="A64" s="95">
        <v>25870</v>
      </c>
      <c r="B64" s="14">
        <f t="shared" ref="B64:B65" si="21">R64*$B$9*(Q64/(R64*10))</f>
        <v>4000</v>
      </c>
      <c r="C64" s="14">
        <f t="shared" ref="C64:C65" si="22">R64*$C$9*(Q64/(R64*10))</f>
        <v>3400</v>
      </c>
      <c r="D64" s="14">
        <v>0</v>
      </c>
      <c r="E64" s="15">
        <v>2200</v>
      </c>
      <c r="F64" s="15">
        <f t="shared" ref="F64:F65" si="23">R64*$F$9*(Q64/(R64*10))</f>
        <v>800</v>
      </c>
      <c r="G64" s="15">
        <v>0</v>
      </c>
      <c r="H64" s="14">
        <f t="shared" ref="H64" si="24">(R64-1)*$H$10*(Q64/(R64*10))</f>
        <v>1350</v>
      </c>
      <c r="I64" s="14">
        <f t="shared" ref="I64:I65" si="25">R64*$I$9*(Q64/(R64*10))</f>
        <v>2440</v>
      </c>
      <c r="J64" s="14">
        <v>0</v>
      </c>
      <c r="K64" s="15">
        <f t="shared" si="15"/>
        <v>450</v>
      </c>
      <c r="L64" s="15">
        <f t="shared" ref="L64:L68" si="26">C64-F64-I64</f>
        <v>160</v>
      </c>
      <c r="M64" s="15">
        <v>0</v>
      </c>
      <c r="N64" s="19">
        <v>650</v>
      </c>
      <c r="O64" s="19">
        <v>0</v>
      </c>
      <c r="P64" s="19">
        <v>0</v>
      </c>
      <c r="Q64" s="15">
        <v>40</v>
      </c>
      <c r="R64" s="19">
        <v>4</v>
      </c>
    </row>
    <row r="65" spans="1:19" ht="15" customHeight="1" x14ac:dyDescent="0.25">
      <c r="A65" s="95">
        <v>25871</v>
      </c>
      <c r="B65" s="14">
        <f t="shared" si="21"/>
        <v>3000</v>
      </c>
      <c r="C65" s="14">
        <f t="shared" si="22"/>
        <v>2550</v>
      </c>
      <c r="D65" s="14">
        <v>0</v>
      </c>
      <c r="E65" s="15">
        <v>1650</v>
      </c>
      <c r="F65" s="15">
        <f t="shared" si="23"/>
        <v>600</v>
      </c>
      <c r="G65" s="15">
        <v>0</v>
      </c>
      <c r="H65" s="14">
        <f>(R65-1)*$H$10*(Q65/(R65*10))</f>
        <v>900</v>
      </c>
      <c r="I65" s="14">
        <f t="shared" si="25"/>
        <v>1830</v>
      </c>
      <c r="J65" s="14">
        <v>0</v>
      </c>
      <c r="K65" s="15">
        <f t="shared" si="15"/>
        <v>450</v>
      </c>
      <c r="L65" s="15">
        <f t="shared" si="26"/>
        <v>120</v>
      </c>
      <c r="M65" s="15">
        <v>0</v>
      </c>
      <c r="N65" s="19">
        <v>650</v>
      </c>
      <c r="O65" s="19">
        <v>0</v>
      </c>
      <c r="P65" s="19">
        <v>0</v>
      </c>
      <c r="Q65" s="15">
        <v>30</v>
      </c>
      <c r="R65" s="19">
        <v>3</v>
      </c>
    </row>
    <row r="66" spans="1:19" ht="15" customHeight="1" x14ac:dyDescent="0.25">
      <c r="A66" s="95">
        <v>25874</v>
      </c>
      <c r="B66" s="14">
        <v>3000</v>
      </c>
      <c r="C66" s="14">
        <v>850</v>
      </c>
      <c r="D66" s="14">
        <v>0</v>
      </c>
      <c r="E66" s="15">
        <v>1700</v>
      </c>
      <c r="F66" s="15">
        <v>200</v>
      </c>
      <c r="G66" s="15">
        <v>0</v>
      </c>
      <c r="H66" s="14">
        <v>900</v>
      </c>
      <c r="I66" s="14">
        <v>610</v>
      </c>
      <c r="J66" s="14">
        <v>0</v>
      </c>
      <c r="K66" s="15">
        <f t="shared" si="15"/>
        <v>400</v>
      </c>
      <c r="L66" s="15">
        <f t="shared" si="26"/>
        <v>40</v>
      </c>
      <c r="M66" s="15">
        <v>0</v>
      </c>
      <c r="N66" s="19">
        <v>650</v>
      </c>
      <c r="O66" s="19">
        <v>0</v>
      </c>
      <c r="P66" s="19">
        <v>0</v>
      </c>
      <c r="Q66" s="15">
        <v>30</v>
      </c>
      <c r="R66" s="19">
        <v>3</v>
      </c>
    </row>
    <row r="67" spans="1:19" ht="15" customHeight="1" x14ac:dyDescent="0.25">
      <c r="A67" s="95">
        <v>25876</v>
      </c>
      <c r="B67" s="14">
        <v>3000</v>
      </c>
      <c r="C67" s="14">
        <v>850</v>
      </c>
      <c r="D67" s="14">
        <v>0</v>
      </c>
      <c r="E67" s="15">
        <v>1700</v>
      </c>
      <c r="F67" s="15">
        <v>200</v>
      </c>
      <c r="G67" s="15">
        <v>0</v>
      </c>
      <c r="H67" s="14">
        <v>900</v>
      </c>
      <c r="I67" s="14">
        <v>610</v>
      </c>
      <c r="J67" s="14">
        <v>0</v>
      </c>
      <c r="K67" s="15">
        <f t="shared" si="15"/>
        <v>400</v>
      </c>
      <c r="L67" s="15">
        <f t="shared" si="26"/>
        <v>40</v>
      </c>
      <c r="M67" s="15">
        <v>0</v>
      </c>
      <c r="N67" s="19">
        <v>650</v>
      </c>
      <c r="O67" s="19">
        <v>0</v>
      </c>
      <c r="P67" s="19">
        <v>0</v>
      </c>
      <c r="Q67" s="15">
        <v>30</v>
      </c>
      <c r="R67" s="19">
        <v>3</v>
      </c>
    </row>
    <row r="68" spans="1:19" ht="15" customHeight="1" x14ac:dyDescent="0.25">
      <c r="A68" s="95">
        <v>25877</v>
      </c>
      <c r="B68" s="14">
        <v>3000</v>
      </c>
      <c r="C68" s="14">
        <v>850</v>
      </c>
      <c r="D68" s="14">
        <v>0</v>
      </c>
      <c r="E68" s="15">
        <v>1700</v>
      </c>
      <c r="F68" s="15">
        <v>200</v>
      </c>
      <c r="G68" s="15">
        <v>0</v>
      </c>
      <c r="H68" s="14">
        <v>900</v>
      </c>
      <c r="I68" s="14">
        <v>610</v>
      </c>
      <c r="J68" s="14">
        <v>0</v>
      </c>
      <c r="K68" s="15">
        <f t="shared" si="15"/>
        <v>400</v>
      </c>
      <c r="L68" s="15">
        <f t="shared" si="26"/>
        <v>40</v>
      </c>
      <c r="M68" s="15">
        <v>0</v>
      </c>
      <c r="N68" s="19">
        <v>650</v>
      </c>
      <c r="O68" s="19">
        <v>0</v>
      </c>
      <c r="P68" s="19">
        <v>0</v>
      </c>
      <c r="Q68" s="15">
        <v>30</v>
      </c>
      <c r="R68" s="19">
        <v>3</v>
      </c>
    </row>
    <row r="69" spans="1:19" ht="15" customHeight="1" x14ac:dyDescent="0.25">
      <c r="A69" s="2">
        <v>25919</v>
      </c>
      <c r="B69" s="14">
        <f t="shared" ref="B69:B70" si="27">R69*$B$9*(Q69/(R69*10))</f>
        <v>3000</v>
      </c>
      <c r="C69" s="14">
        <f t="shared" ref="C69:C70" si="28">R69*$C$9*(Q69/(R69*10))</f>
        <v>2550</v>
      </c>
      <c r="D69" s="14">
        <v>0</v>
      </c>
      <c r="E69" s="15">
        <v>1675</v>
      </c>
      <c r="F69" s="15">
        <f t="shared" ref="F69:F70" si="29">R69*$F$9*(Q69/(R69*10))</f>
        <v>600</v>
      </c>
      <c r="G69" s="15">
        <v>0</v>
      </c>
      <c r="H69" s="14">
        <f>(R69-1)*$H$10*(Q69/(R69*10))</f>
        <v>900</v>
      </c>
      <c r="I69" s="14">
        <f t="shared" ref="I69:I70" si="30">R69*$I$9*(Q69/(R69*10))</f>
        <v>1830</v>
      </c>
      <c r="J69" s="14">
        <v>0</v>
      </c>
      <c r="K69" s="15">
        <f t="shared" si="15"/>
        <v>425</v>
      </c>
      <c r="L69" s="15">
        <f t="shared" ref="L69:L78" si="31">C69-F69-I69</f>
        <v>120</v>
      </c>
      <c r="M69" s="15">
        <v>0</v>
      </c>
      <c r="N69" s="19">
        <v>700</v>
      </c>
      <c r="O69" s="19">
        <v>0</v>
      </c>
      <c r="P69" s="19">
        <v>0</v>
      </c>
      <c r="Q69" s="15">
        <v>30</v>
      </c>
      <c r="R69" s="19">
        <v>3</v>
      </c>
    </row>
    <row r="70" spans="1:19" ht="15" customHeight="1" x14ac:dyDescent="0.25">
      <c r="A70" s="2">
        <v>25919</v>
      </c>
      <c r="B70" s="14">
        <f t="shared" si="27"/>
        <v>4000</v>
      </c>
      <c r="C70" s="14">
        <f t="shared" si="28"/>
        <v>3400</v>
      </c>
      <c r="D70" s="14">
        <v>0</v>
      </c>
      <c r="E70" s="15">
        <v>2200</v>
      </c>
      <c r="F70" s="15">
        <f t="shared" si="29"/>
        <v>800</v>
      </c>
      <c r="G70" s="15">
        <v>0</v>
      </c>
      <c r="H70" s="14">
        <f t="shared" ref="H70" si="32">(R70-1)*$H$10*(Q70/(R70*10))</f>
        <v>1350</v>
      </c>
      <c r="I70" s="14">
        <f t="shared" si="30"/>
        <v>2440</v>
      </c>
      <c r="J70" s="14">
        <v>0</v>
      </c>
      <c r="K70" s="15">
        <f t="shared" si="15"/>
        <v>450</v>
      </c>
      <c r="L70" s="15">
        <f t="shared" si="31"/>
        <v>160</v>
      </c>
      <c r="M70" s="15">
        <v>0</v>
      </c>
      <c r="N70" s="19">
        <v>650</v>
      </c>
      <c r="O70" s="19">
        <v>0</v>
      </c>
      <c r="P70" s="19">
        <v>0</v>
      </c>
      <c r="Q70" s="15">
        <v>40</v>
      </c>
      <c r="R70" s="19">
        <v>4</v>
      </c>
    </row>
    <row r="71" spans="1:19" ht="15" customHeight="1" x14ac:dyDescent="0.25">
      <c r="A71" s="2">
        <v>25959</v>
      </c>
      <c r="B71" s="14">
        <v>2000</v>
      </c>
      <c r="C71" s="14">
        <v>850</v>
      </c>
      <c r="D71" s="14">
        <v>0</v>
      </c>
      <c r="E71" s="15">
        <v>1150</v>
      </c>
      <c r="F71" s="15">
        <v>200</v>
      </c>
      <c r="G71" s="15">
        <v>0</v>
      </c>
      <c r="H71" s="14">
        <v>550</v>
      </c>
      <c r="I71" s="14">
        <v>610</v>
      </c>
      <c r="J71" s="14">
        <v>0</v>
      </c>
      <c r="K71" s="15">
        <f t="shared" si="15"/>
        <v>300</v>
      </c>
      <c r="L71" s="15">
        <f t="shared" si="31"/>
        <v>40</v>
      </c>
      <c r="M71" s="15">
        <v>0</v>
      </c>
      <c r="N71" s="19">
        <v>600</v>
      </c>
      <c r="O71" s="19">
        <v>0</v>
      </c>
      <c r="P71" s="19">
        <v>0</v>
      </c>
      <c r="Q71" s="15">
        <v>20</v>
      </c>
      <c r="R71" s="19">
        <v>2</v>
      </c>
    </row>
    <row r="72" spans="1:19" ht="15" customHeight="1" x14ac:dyDescent="0.25">
      <c r="A72" s="2">
        <v>25960</v>
      </c>
      <c r="B72" s="14">
        <v>2000</v>
      </c>
      <c r="C72" s="14">
        <v>850</v>
      </c>
      <c r="D72" s="14">
        <v>0</v>
      </c>
      <c r="E72" s="15">
        <v>1150</v>
      </c>
      <c r="F72" s="15">
        <v>200</v>
      </c>
      <c r="G72" s="15">
        <v>0</v>
      </c>
      <c r="H72" s="14">
        <v>550</v>
      </c>
      <c r="I72" s="14">
        <v>610</v>
      </c>
      <c r="J72" s="14">
        <v>0</v>
      </c>
      <c r="K72" s="15">
        <f t="shared" si="15"/>
        <v>300</v>
      </c>
      <c r="L72" s="15">
        <f t="shared" si="31"/>
        <v>40</v>
      </c>
      <c r="M72" s="15">
        <v>0</v>
      </c>
      <c r="N72" s="19">
        <v>600</v>
      </c>
      <c r="O72" s="19">
        <v>0</v>
      </c>
      <c r="P72" s="19">
        <v>0</v>
      </c>
      <c r="Q72" s="15">
        <v>20</v>
      </c>
      <c r="R72" s="19">
        <v>2</v>
      </c>
    </row>
    <row r="73" spans="1:19" ht="15" customHeight="1" x14ac:dyDescent="0.25">
      <c r="A73" s="95">
        <v>25998</v>
      </c>
      <c r="B73" s="14">
        <v>3000</v>
      </c>
      <c r="C73" s="14">
        <v>850</v>
      </c>
      <c r="D73" s="14">
        <v>0</v>
      </c>
      <c r="E73" s="15">
        <v>1700</v>
      </c>
      <c r="F73" s="15">
        <v>200</v>
      </c>
      <c r="G73" s="15">
        <v>0</v>
      </c>
      <c r="H73" s="14">
        <v>900</v>
      </c>
      <c r="I73" s="14">
        <v>610</v>
      </c>
      <c r="J73" s="14">
        <v>0</v>
      </c>
      <c r="K73" s="15">
        <f>B73-E73-H73</f>
        <v>400</v>
      </c>
      <c r="L73" s="15">
        <f>C73-F73-I73</f>
        <v>40</v>
      </c>
      <c r="M73" s="15">
        <v>0</v>
      </c>
      <c r="N73" s="19">
        <v>900</v>
      </c>
      <c r="O73" s="19">
        <v>0</v>
      </c>
      <c r="P73" s="19">
        <v>0</v>
      </c>
      <c r="Q73" s="15">
        <v>30</v>
      </c>
      <c r="R73" s="19">
        <v>3</v>
      </c>
    </row>
    <row r="74" spans="1:19" ht="15" customHeight="1" x14ac:dyDescent="0.25">
      <c r="A74" s="2">
        <v>25999</v>
      </c>
      <c r="B74" s="14">
        <v>1500</v>
      </c>
      <c r="C74" s="14">
        <v>850</v>
      </c>
      <c r="D74" s="14">
        <v>0</v>
      </c>
      <c r="E74" s="15">
        <v>850</v>
      </c>
      <c r="F74" s="15">
        <v>200</v>
      </c>
      <c r="G74" s="15">
        <v>0</v>
      </c>
      <c r="H74" s="14">
        <v>550</v>
      </c>
      <c r="I74" s="14">
        <v>610</v>
      </c>
      <c r="J74" s="14">
        <v>0</v>
      </c>
      <c r="K74" s="15">
        <f t="shared" ref="K74:K75" si="33">B74-E74-H74</f>
        <v>100</v>
      </c>
      <c r="L74" s="15">
        <f t="shared" ref="L74:L75" si="34">C74-F74-I74</f>
        <v>40</v>
      </c>
      <c r="M74" s="15">
        <v>0</v>
      </c>
      <c r="N74" s="19">
        <v>900</v>
      </c>
      <c r="O74" s="19">
        <v>0</v>
      </c>
      <c r="P74" s="19">
        <v>0</v>
      </c>
      <c r="Q74" s="15">
        <v>15</v>
      </c>
      <c r="R74" s="19">
        <v>1.5</v>
      </c>
    </row>
    <row r="75" spans="1:19" ht="15" customHeight="1" x14ac:dyDescent="0.25">
      <c r="A75" s="95">
        <v>27015</v>
      </c>
      <c r="B75" s="14">
        <f t="shared" ref="B75" si="35">R75*$B$9*(Q75/(R75*10))</f>
        <v>3000</v>
      </c>
      <c r="C75" s="14">
        <f t="shared" ref="C75" si="36">R75*$C$9*(Q75/(R75*10))</f>
        <v>2550</v>
      </c>
      <c r="D75" s="14">
        <v>0</v>
      </c>
      <c r="E75" s="15">
        <v>1700</v>
      </c>
      <c r="F75" s="15">
        <f t="shared" ref="F75" si="37">R75*$F$9*(Q75/(R75*10))</f>
        <v>600</v>
      </c>
      <c r="G75" s="15">
        <v>0</v>
      </c>
      <c r="H75" s="14">
        <f>(R75-1)*$H$10*(Q75/(R75*10))</f>
        <v>900</v>
      </c>
      <c r="I75" s="14">
        <f t="shared" ref="I75" si="38">R75*$I$9*(Q75/(R75*10))</f>
        <v>1830</v>
      </c>
      <c r="J75" s="14">
        <v>0</v>
      </c>
      <c r="K75" s="15">
        <f t="shared" si="33"/>
        <v>400</v>
      </c>
      <c r="L75" s="15">
        <f t="shared" si="34"/>
        <v>120</v>
      </c>
      <c r="M75" s="15">
        <v>0</v>
      </c>
      <c r="N75" s="19">
        <v>900</v>
      </c>
      <c r="O75" s="19">
        <v>0</v>
      </c>
      <c r="P75" s="19">
        <v>0</v>
      </c>
      <c r="Q75" s="15">
        <v>30</v>
      </c>
      <c r="R75" s="19">
        <v>3</v>
      </c>
    </row>
    <row r="76" spans="1:19" ht="15" customHeight="1" x14ac:dyDescent="0.25">
      <c r="A76" s="95">
        <v>27016</v>
      </c>
      <c r="B76" s="14">
        <f t="shared" ref="B76" si="39">R76*$B$9*(Q76/(R76*10))</f>
        <v>3000</v>
      </c>
      <c r="C76" s="14">
        <f t="shared" ref="C76" si="40">R76*$C$9*(Q76/(R76*10))</f>
        <v>2550</v>
      </c>
      <c r="D76" s="14">
        <v>0</v>
      </c>
      <c r="E76" s="15">
        <v>1700</v>
      </c>
      <c r="F76" s="15">
        <f t="shared" ref="F76" si="41">R76*$F$9*(Q76/(R76*10))</f>
        <v>600</v>
      </c>
      <c r="G76" s="15">
        <v>0</v>
      </c>
      <c r="H76" s="14">
        <f>(R76-1)*$H$10*(Q76/(R76*10))</f>
        <v>900</v>
      </c>
      <c r="I76" s="14">
        <f t="shared" ref="I76" si="42">R76*$I$9*(Q76/(R76*10))</f>
        <v>1830</v>
      </c>
      <c r="J76" s="14">
        <v>0</v>
      </c>
      <c r="K76" s="15">
        <f t="shared" ref="K76" si="43">B76-E76-H76</f>
        <v>400</v>
      </c>
      <c r="L76" s="15">
        <f t="shared" ref="L76" si="44">C76-F76-I76</f>
        <v>120</v>
      </c>
      <c r="M76" s="15">
        <v>0</v>
      </c>
      <c r="N76" s="19">
        <v>900</v>
      </c>
      <c r="O76" s="19">
        <v>0</v>
      </c>
      <c r="P76" s="19">
        <v>0</v>
      </c>
      <c r="Q76" s="15">
        <v>30</v>
      </c>
      <c r="R76" s="19">
        <v>3</v>
      </c>
    </row>
    <row r="77" spans="1:19" ht="15" customHeight="1" x14ac:dyDescent="0.25">
      <c r="A77" s="95">
        <v>25998</v>
      </c>
      <c r="B77" s="14">
        <f t="shared" ref="B77" si="45">R77*$B$9*(Q77/(R77*10))</f>
        <v>3000</v>
      </c>
      <c r="C77" s="14">
        <f t="shared" ref="C77" si="46">R77*$C$9*(Q77/(R77*10))</f>
        <v>2550</v>
      </c>
      <c r="D77" s="14">
        <v>0</v>
      </c>
      <c r="E77" s="15">
        <v>1700</v>
      </c>
      <c r="F77" s="15">
        <f t="shared" ref="F77" si="47">R77*$F$9*(Q77/(R77*10))</f>
        <v>600</v>
      </c>
      <c r="G77" s="15">
        <v>0</v>
      </c>
      <c r="H77" s="14">
        <f>(R77-1)*$H$10*(Q77/(R77*10))</f>
        <v>900</v>
      </c>
      <c r="I77" s="14">
        <f t="shared" ref="I77" si="48">R77*$I$9*(Q77/(R77*10))</f>
        <v>1830</v>
      </c>
      <c r="J77" s="14">
        <v>0</v>
      </c>
      <c r="K77" s="15">
        <f t="shared" ref="K77" si="49">B77-E77-H77</f>
        <v>400</v>
      </c>
      <c r="L77" s="15">
        <f t="shared" ref="L77" si="50">C77-F77-I77</f>
        <v>120</v>
      </c>
      <c r="M77" s="15">
        <v>0</v>
      </c>
      <c r="N77" s="19">
        <v>900</v>
      </c>
      <c r="O77" s="19">
        <v>0</v>
      </c>
      <c r="P77" s="19">
        <v>0</v>
      </c>
      <c r="Q77" s="15">
        <v>30</v>
      </c>
      <c r="R77" s="19">
        <v>3</v>
      </c>
    </row>
    <row r="78" spans="1:19" ht="15" customHeight="1" x14ac:dyDescent="0.25">
      <c r="A78" s="2">
        <v>25999</v>
      </c>
      <c r="B78" s="14">
        <v>1500</v>
      </c>
      <c r="C78" s="14">
        <v>850</v>
      </c>
      <c r="D78" s="14">
        <v>0</v>
      </c>
      <c r="E78" s="15">
        <v>850</v>
      </c>
      <c r="F78" s="15">
        <v>200</v>
      </c>
      <c r="G78" s="15">
        <v>0</v>
      </c>
      <c r="H78" s="14">
        <v>550</v>
      </c>
      <c r="I78" s="14">
        <v>610</v>
      </c>
      <c r="J78" s="14">
        <v>0</v>
      </c>
      <c r="K78" s="15">
        <f t="shared" si="15"/>
        <v>100</v>
      </c>
      <c r="L78" s="15">
        <f t="shared" si="31"/>
        <v>40</v>
      </c>
      <c r="M78" s="15">
        <v>0</v>
      </c>
      <c r="N78" s="19">
        <v>900</v>
      </c>
      <c r="O78" s="19">
        <v>0</v>
      </c>
      <c r="P78" s="19">
        <v>0</v>
      </c>
      <c r="Q78" s="15">
        <v>15</v>
      </c>
      <c r="R78" s="19">
        <v>1.5</v>
      </c>
    </row>
    <row r="80" spans="1:19" s="5" customFormat="1" ht="15" customHeight="1" x14ac:dyDescent="0.25">
      <c r="A80" s="3" t="s">
        <v>148</v>
      </c>
      <c r="B80" s="5" t="s">
        <v>8</v>
      </c>
      <c r="C80" s="4" t="s">
        <v>149</v>
      </c>
      <c r="D80" s="4"/>
      <c r="E80" s="24"/>
      <c r="F80" s="24"/>
      <c r="G80" s="24"/>
      <c r="I80" s="24"/>
      <c r="J80" s="24"/>
      <c r="L80" s="4"/>
      <c r="M80" s="4"/>
      <c r="N80" s="8"/>
      <c r="O80" s="8"/>
      <c r="P80" s="8"/>
      <c r="Q80" s="8"/>
      <c r="R80" s="8"/>
      <c r="S80" s="7"/>
    </row>
    <row r="81" spans="1:19" ht="15" customHeight="1" x14ac:dyDescent="0.25">
      <c r="A81" t="s">
        <v>121</v>
      </c>
      <c r="B81" s="1" t="s">
        <v>121</v>
      </c>
      <c r="C81" s="25">
        <v>2</v>
      </c>
      <c r="D81" s="25"/>
      <c r="E81"/>
      <c r="F81"/>
      <c r="G81"/>
      <c r="I81" s="26"/>
      <c r="J81" s="26"/>
      <c r="L81" s="6"/>
      <c r="M81" s="6"/>
      <c r="N81" s="6"/>
      <c r="O81" s="6"/>
      <c r="P81" s="6"/>
      <c r="Q81" s="6"/>
      <c r="R81" s="6"/>
      <c r="S81" s="7"/>
    </row>
    <row r="82" spans="1:19" ht="15" customHeight="1" x14ac:dyDescent="0.25">
      <c r="A82" t="s">
        <v>9</v>
      </c>
      <c r="B82" s="1" t="s">
        <v>9</v>
      </c>
      <c r="C82" s="25">
        <v>3</v>
      </c>
      <c r="D82" s="25"/>
      <c r="E82"/>
      <c r="F82"/>
      <c r="G82"/>
      <c r="H82"/>
      <c r="I82" s="26"/>
      <c r="J82" s="26"/>
      <c r="L82" s="6"/>
      <c r="M82" s="6"/>
      <c r="N82" s="6"/>
      <c r="O82" s="6"/>
      <c r="P82" s="6"/>
      <c r="Q82" s="6"/>
      <c r="R82" s="6"/>
      <c r="S82" s="7"/>
    </row>
    <row r="83" spans="1:19" ht="15" customHeight="1" x14ac:dyDescent="0.25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7"/>
    </row>
    <row r="84" spans="1:19" s="5" customFormat="1" ht="15" customHeight="1" x14ac:dyDescent="0.25">
      <c r="A84" s="3" t="s">
        <v>150</v>
      </c>
      <c r="B84" s="4" t="s">
        <v>9</v>
      </c>
      <c r="C84" s="4" t="s">
        <v>121</v>
      </c>
      <c r="D84" s="4"/>
      <c r="F84" s="4"/>
      <c r="G84" s="4"/>
      <c r="H84" s="4"/>
      <c r="I84" s="4"/>
      <c r="J84" s="4"/>
      <c r="K84" s="4"/>
      <c r="L84" s="4"/>
      <c r="M84" s="4"/>
      <c r="N84" s="8"/>
      <c r="O84" s="8"/>
      <c r="P84" s="8"/>
      <c r="Q84" s="8"/>
      <c r="R84" s="8"/>
      <c r="S84" s="7"/>
    </row>
    <row r="85" spans="1:19" ht="15" customHeight="1" x14ac:dyDescent="0.25">
      <c r="A85" s="2" t="s">
        <v>151</v>
      </c>
      <c r="B85" s="1">
        <v>9</v>
      </c>
      <c r="C85" s="1">
        <v>9.5</v>
      </c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7"/>
    </row>
    <row r="86" spans="1:19" ht="15" customHeight="1" x14ac:dyDescent="0.25">
      <c r="A86" s="2" t="s">
        <v>152</v>
      </c>
      <c r="B86" s="1">
        <v>9</v>
      </c>
      <c r="C86" s="1">
        <v>9.5</v>
      </c>
    </row>
    <row r="87" spans="1:19" ht="15" customHeight="1" x14ac:dyDescent="0.25">
      <c r="A87" s="2" t="s">
        <v>153</v>
      </c>
      <c r="B87" s="1">
        <v>9</v>
      </c>
      <c r="C87" s="1">
        <v>9.5</v>
      </c>
    </row>
    <row r="88" spans="1:19" ht="15" customHeight="1" x14ac:dyDescent="0.25">
      <c r="A88" s="2" t="s">
        <v>154</v>
      </c>
      <c r="B88" s="1">
        <v>8</v>
      </c>
      <c r="C88" s="1">
        <v>8.5</v>
      </c>
    </row>
    <row r="89" spans="1:19" ht="15" customHeight="1" x14ac:dyDescent="0.25">
      <c r="A89" s="2"/>
    </row>
    <row r="90" spans="1:19" s="5" customFormat="1" ht="15" customHeight="1" x14ac:dyDescent="0.25">
      <c r="A90" s="3" t="s">
        <v>155</v>
      </c>
      <c r="B90" s="4" t="s">
        <v>156</v>
      </c>
      <c r="C90" s="4" t="s">
        <v>157</v>
      </c>
      <c r="D90" s="4" t="s">
        <v>158</v>
      </c>
      <c r="L90" s="4"/>
      <c r="M90" s="4"/>
      <c r="N90" s="8"/>
      <c r="O90" s="8"/>
      <c r="P90" s="8"/>
      <c r="Q90" s="8"/>
      <c r="R90" s="8"/>
      <c r="S90" s="7"/>
    </row>
    <row r="91" spans="1:19" ht="15" customHeight="1" x14ac:dyDescent="0.25">
      <c r="A91" t="s">
        <v>159</v>
      </c>
      <c r="B91" s="9">
        <v>0.03</v>
      </c>
      <c r="C91" s="70">
        <v>0.03</v>
      </c>
      <c r="D91" s="10">
        <f>1000*(1+C91)</f>
        <v>1030</v>
      </c>
      <c r="L91" s="10"/>
      <c r="M91" s="10"/>
    </row>
    <row r="92" spans="1:19" ht="15" customHeight="1" x14ac:dyDescent="0.25">
      <c r="A92" t="s">
        <v>160</v>
      </c>
      <c r="B92" s="1">
        <v>50</v>
      </c>
    </row>
    <row r="93" spans="1:19" ht="15" customHeight="1" x14ac:dyDescent="0.25">
      <c r="A93" t="s">
        <v>161</v>
      </c>
      <c r="B93" s="16">
        <f>850*(100%+B91)</f>
        <v>875.5</v>
      </c>
      <c r="C93" s="16"/>
      <c r="D93" s="16"/>
      <c r="E93" s="16"/>
      <c r="F93" s="16"/>
      <c r="G93" s="16"/>
      <c r="H93" s="16"/>
    </row>
    <row r="94" spans="1:19" ht="15" customHeight="1" x14ac:dyDescent="0.25">
      <c r="A94" t="s">
        <v>162</v>
      </c>
      <c r="B94" s="16">
        <f>1000*(100%+B91)</f>
        <v>1030</v>
      </c>
      <c r="C94" s="16"/>
      <c r="D94" s="16"/>
      <c r="E94" s="16"/>
      <c r="F94" s="16"/>
      <c r="G94" s="16"/>
      <c r="H94" s="16"/>
    </row>
    <row r="95" spans="1:19" ht="15" customHeight="1" x14ac:dyDescent="0.25">
      <c r="B95" s="11"/>
      <c r="C95" s="11"/>
      <c r="D95" s="11"/>
      <c r="E95" s="11"/>
      <c r="F95" s="11"/>
      <c r="G95" s="11"/>
      <c r="H95" s="11"/>
    </row>
    <row r="96" spans="1:19" s="5" customFormat="1" ht="15" customHeight="1" x14ac:dyDescent="0.25">
      <c r="A96" s="3" t="s">
        <v>163</v>
      </c>
      <c r="B96" s="24" t="s">
        <v>164</v>
      </c>
      <c r="C96" s="24"/>
      <c r="D96" s="24"/>
      <c r="E96" s="4"/>
      <c r="F96" s="4"/>
      <c r="G96" s="4"/>
      <c r="H96" s="4"/>
      <c r="I96" s="4"/>
      <c r="J96" s="4"/>
      <c r="K96" s="4"/>
      <c r="L96" s="4"/>
      <c r="M96" s="4"/>
      <c r="N96" s="8"/>
      <c r="O96" s="8"/>
      <c r="P96" s="8"/>
      <c r="Q96" s="8"/>
      <c r="R96" s="8"/>
      <c r="S96" s="7"/>
    </row>
    <row r="97" spans="1:19" ht="15" customHeight="1" x14ac:dyDescent="0.25">
      <c r="A97" t="s">
        <v>165</v>
      </c>
      <c r="B97" t="s">
        <v>165</v>
      </c>
      <c r="C97"/>
      <c r="D97"/>
      <c r="E97"/>
      <c r="F97"/>
      <c r="G97"/>
      <c r="H97"/>
    </row>
    <row r="98" spans="1:19" ht="15" customHeight="1" x14ac:dyDescent="0.25">
      <c r="A98" t="s">
        <v>166</v>
      </c>
      <c r="B98" t="s">
        <v>166</v>
      </c>
      <c r="C98"/>
      <c r="D98"/>
      <c r="E98"/>
      <c r="F98"/>
      <c r="G98"/>
      <c r="H98"/>
    </row>
    <row r="99" spans="1:19" ht="15" customHeight="1" x14ac:dyDescent="0.25">
      <c r="A99" t="s">
        <v>3</v>
      </c>
      <c r="B99" t="s">
        <v>3</v>
      </c>
      <c r="C99"/>
      <c r="D99"/>
      <c r="E99"/>
      <c r="F99"/>
      <c r="G99"/>
      <c r="H99"/>
    </row>
    <row r="100" spans="1:19" ht="15" customHeight="1" x14ac:dyDescent="0.25">
      <c r="A100" t="s">
        <v>167</v>
      </c>
      <c r="B100" t="s">
        <v>168</v>
      </c>
      <c r="C100"/>
      <c r="D100"/>
      <c r="E100"/>
      <c r="F100"/>
      <c r="G100"/>
      <c r="H100"/>
    </row>
    <row r="101" spans="1:19" ht="15" customHeight="1" x14ac:dyDescent="0.25">
      <c r="A101" t="s">
        <v>169</v>
      </c>
      <c r="B101" t="s">
        <v>169</v>
      </c>
      <c r="C101"/>
      <c r="D101"/>
      <c r="E101"/>
      <c r="F101"/>
      <c r="G101"/>
      <c r="H101"/>
    </row>
    <row r="102" spans="1:19" ht="15" customHeight="1" x14ac:dyDescent="0.25">
      <c r="B102"/>
      <c r="C102"/>
      <c r="D102"/>
      <c r="E102"/>
      <c r="F102"/>
      <c r="G102"/>
      <c r="H102"/>
    </row>
    <row r="103" spans="1:19" s="5" customFormat="1" ht="15" customHeight="1" x14ac:dyDescent="0.25">
      <c r="A103" s="3" t="s">
        <v>170</v>
      </c>
      <c r="B103" s="4" t="s">
        <v>102</v>
      </c>
      <c r="C103" s="4"/>
      <c r="D103" s="4"/>
      <c r="E103" s="17"/>
      <c r="F103" s="17"/>
      <c r="G103" s="17"/>
      <c r="H103" s="17"/>
      <c r="I103" s="4"/>
      <c r="J103" s="4"/>
      <c r="K103" s="4"/>
      <c r="L103" s="4"/>
      <c r="M103" s="4"/>
      <c r="N103" s="8"/>
      <c r="O103" s="8"/>
      <c r="P103" s="8"/>
      <c r="Q103" s="8"/>
      <c r="R103" s="8"/>
      <c r="S103" s="7"/>
    </row>
    <row r="104" spans="1:19" ht="15" customHeight="1" x14ac:dyDescent="0.25">
      <c r="A104" t="s">
        <v>290</v>
      </c>
      <c r="B104" s="1">
        <v>1</v>
      </c>
    </row>
    <row r="105" spans="1:19" ht="15" customHeight="1" x14ac:dyDescent="0.25">
      <c r="A105" t="s">
        <v>235</v>
      </c>
      <c r="B105" s="1">
        <v>2</v>
      </c>
    </row>
    <row r="106" spans="1:19" ht="15" customHeight="1" x14ac:dyDescent="0.25">
      <c r="A106" t="s">
        <v>12</v>
      </c>
      <c r="B106" s="1">
        <v>3</v>
      </c>
    </row>
    <row r="107" spans="1:19" ht="15" customHeight="1" x14ac:dyDescent="0.25">
      <c r="A107" t="s">
        <v>171</v>
      </c>
      <c r="B107" s="1">
        <v>4</v>
      </c>
    </row>
    <row r="109" spans="1:19" s="5" customFormat="1" ht="15" customHeight="1" x14ac:dyDescent="0.25">
      <c r="A109" s="3" t="s">
        <v>172</v>
      </c>
      <c r="B109" s="4"/>
      <c r="C109" s="4"/>
      <c r="D109" s="4"/>
      <c r="E109" s="17"/>
      <c r="F109" s="17"/>
      <c r="G109" s="17"/>
      <c r="H109" s="17"/>
      <c r="I109" s="4"/>
      <c r="J109" s="4"/>
      <c r="K109" s="4"/>
      <c r="L109" s="4"/>
      <c r="M109" s="4"/>
      <c r="N109" s="8"/>
      <c r="O109" s="8"/>
      <c r="P109" s="8"/>
      <c r="Q109" s="8"/>
      <c r="R109" s="8"/>
      <c r="S109" s="7"/>
    </row>
    <row r="110" spans="1:19" ht="15" customHeight="1" x14ac:dyDescent="0.25">
      <c r="A110" t="s">
        <v>173</v>
      </c>
    </row>
    <row r="111" spans="1:19" ht="15" customHeight="1" x14ac:dyDescent="0.25">
      <c r="A111" t="s">
        <v>4</v>
      </c>
    </row>
    <row r="112" spans="1:19" ht="15" customHeight="1" x14ac:dyDescent="0.25">
      <c r="A112" t="s">
        <v>307</v>
      </c>
    </row>
    <row r="113" spans="1:1" ht="15" customHeight="1" x14ac:dyDescent="0.25">
      <c r="A113" t="s">
        <v>174</v>
      </c>
    </row>
    <row r="114" spans="1:1" ht="15" customHeight="1" x14ac:dyDescent="0.25">
      <c r="A114" t="s">
        <v>175</v>
      </c>
    </row>
    <row r="115" spans="1:1" ht="15" customHeight="1" x14ac:dyDescent="0.25">
      <c r="A115" t="s">
        <v>176</v>
      </c>
    </row>
  </sheetData>
  <sortState xmlns:xlrd2="http://schemas.microsoft.com/office/spreadsheetml/2017/richdata2" ref="A28:S79">
    <sortCondition ref="A28:A79"/>
  </sortState>
  <mergeCells count="6">
    <mergeCell ref="Q2:R2"/>
    <mergeCell ref="B2:D2"/>
    <mergeCell ref="E2:G2"/>
    <mergeCell ref="H2:J2"/>
    <mergeCell ref="K2:M2"/>
    <mergeCell ref="N2:P2"/>
  </mergeCells>
  <phoneticPr fontId="17" type="noConversion"/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6"/>
  <dimension ref="A1:D159"/>
  <sheetViews>
    <sheetView topLeftCell="A133" workbookViewId="0">
      <selection activeCell="A84" sqref="A84"/>
    </sheetView>
  </sheetViews>
  <sheetFormatPr defaultColWidth="9.140625" defaultRowHeight="17.100000000000001" customHeight="1" x14ac:dyDescent="0.25"/>
  <cols>
    <col min="1" max="1" width="81" bestFit="1" customWidth="1"/>
    <col min="2" max="2" width="7.28515625" style="1" customWidth="1"/>
    <col min="3" max="3" width="18.85546875" customWidth="1"/>
    <col min="4" max="4" width="9" style="1" customWidth="1"/>
    <col min="5" max="6" width="9" customWidth="1"/>
  </cols>
  <sheetData>
    <row r="1" spans="1:3" ht="17.100000000000001" customHeight="1" x14ac:dyDescent="0.25">
      <c r="A1" s="12" t="s">
        <v>177</v>
      </c>
      <c r="B1" s="69" t="s">
        <v>101</v>
      </c>
      <c r="C1" s="12" t="s">
        <v>2</v>
      </c>
    </row>
    <row r="2" spans="1:3" ht="17.100000000000001" customHeight="1" x14ac:dyDescent="0.25">
      <c r="A2" s="138" t="s">
        <v>291</v>
      </c>
      <c r="B2" s="1">
        <v>1</v>
      </c>
      <c r="C2" t="s">
        <v>165</v>
      </c>
    </row>
    <row r="3" spans="1:3" ht="17.100000000000001" customHeight="1" x14ac:dyDescent="0.25">
      <c r="A3" s="138" t="s">
        <v>178</v>
      </c>
      <c r="B3" s="1">
        <v>2</v>
      </c>
      <c r="C3" t="s">
        <v>165</v>
      </c>
    </row>
    <row r="4" spans="1:3" ht="17.100000000000001" customHeight="1" x14ac:dyDescent="0.25">
      <c r="A4" s="138" t="s">
        <v>179</v>
      </c>
      <c r="B4" s="99">
        <v>3</v>
      </c>
      <c r="C4" t="s">
        <v>165</v>
      </c>
    </row>
    <row r="5" spans="1:3" ht="17.100000000000001" customHeight="1" x14ac:dyDescent="0.25">
      <c r="A5" s="138" t="s">
        <v>236</v>
      </c>
      <c r="B5" s="1">
        <v>1</v>
      </c>
      <c r="C5" t="s">
        <v>165</v>
      </c>
    </row>
    <row r="6" spans="1:3" ht="17.100000000000001" customHeight="1" x14ac:dyDescent="0.25">
      <c r="A6" s="138" t="s">
        <v>237</v>
      </c>
      <c r="B6" s="1">
        <v>1</v>
      </c>
      <c r="C6" t="s">
        <v>165</v>
      </c>
    </row>
    <row r="7" spans="1:3" ht="17.100000000000001" customHeight="1" x14ac:dyDescent="0.25">
      <c r="A7" s="138" t="s">
        <v>238</v>
      </c>
      <c r="B7" s="1">
        <v>1</v>
      </c>
      <c r="C7" t="s">
        <v>165</v>
      </c>
    </row>
    <row r="8" spans="1:3" ht="17.100000000000001" customHeight="1" x14ac:dyDescent="0.25">
      <c r="A8" s="138" t="s">
        <v>239</v>
      </c>
      <c r="B8" s="1">
        <v>1</v>
      </c>
      <c r="C8" t="s">
        <v>165</v>
      </c>
    </row>
    <row r="9" spans="1:3" ht="17.100000000000001" customHeight="1" x14ac:dyDescent="0.25">
      <c r="A9" s="138" t="s">
        <v>240</v>
      </c>
      <c r="B9" s="1">
        <v>1</v>
      </c>
      <c r="C9" t="s">
        <v>165</v>
      </c>
    </row>
    <row r="10" spans="1:3" ht="17.100000000000001" customHeight="1" x14ac:dyDescent="0.25">
      <c r="A10" s="138" t="s">
        <v>292</v>
      </c>
      <c r="B10" s="1">
        <v>1</v>
      </c>
      <c r="C10" t="s">
        <v>165</v>
      </c>
    </row>
    <row r="11" spans="1:3" ht="17.100000000000001" customHeight="1" x14ac:dyDescent="0.25">
      <c r="A11" s="138" t="s">
        <v>241</v>
      </c>
      <c r="B11" s="1">
        <v>1</v>
      </c>
      <c r="C11" t="s">
        <v>165</v>
      </c>
    </row>
    <row r="12" spans="1:3" ht="17.100000000000001" customHeight="1" x14ac:dyDescent="0.25">
      <c r="A12" s="138" t="s">
        <v>242</v>
      </c>
      <c r="B12" s="1">
        <v>1</v>
      </c>
      <c r="C12" t="s">
        <v>165</v>
      </c>
    </row>
    <row r="13" spans="1:3" ht="17.100000000000001" customHeight="1" x14ac:dyDescent="0.25">
      <c r="A13" s="138" t="s">
        <v>243</v>
      </c>
      <c r="B13" s="1">
        <v>1</v>
      </c>
      <c r="C13" t="s">
        <v>165</v>
      </c>
    </row>
    <row r="14" spans="1:3" ht="17.100000000000001" customHeight="1" x14ac:dyDescent="0.25">
      <c r="A14" s="138" t="s">
        <v>245</v>
      </c>
      <c r="B14" s="1">
        <v>2</v>
      </c>
      <c r="C14" t="s">
        <v>165</v>
      </c>
    </row>
    <row r="15" spans="1:3" ht="17.100000000000001" customHeight="1" x14ac:dyDescent="0.25">
      <c r="A15" s="138" t="s">
        <v>244</v>
      </c>
      <c r="B15" s="1">
        <v>2</v>
      </c>
      <c r="C15" t="s">
        <v>165</v>
      </c>
    </row>
    <row r="17" spans="1:4" ht="17.100000000000001" customHeight="1" x14ac:dyDescent="0.25">
      <c r="A17" s="12" t="s">
        <v>180</v>
      </c>
      <c r="D17"/>
    </row>
    <row r="18" spans="1:4" ht="17.100000000000001" customHeight="1" x14ac:dyDescent="0.25">
      <c r="A18" t="s">
        <v>181</v>
      </c>
      <c r="B18" s="1">
        <v>3.4</v>
      </c>
      <c r="C18" t="s">
        <v>166</v>
      </c>
      <c r="D18"/>
    </row>
    <row r="19" spans="1:4" ht="17.100000000000001" customHeight="1" x14ac:dyDescent="0.25">
      <c r="A19" t="s">
        <v>182</v>
      </c>
      <c r="B19" s="1">
        <v>3.4</v>
      </c>
      <c r="C19" t="s">
        <v>166</v>
      </c>
      <c r="D19"/>
    </row>
    <row r="20" spans="1:4" ht="17.100000000000001" customHeight="1" x14ac:dyDescent="0.25">
      <c r="A20" t="s">
        <v>295</v>
      </c>
      <c r="B20" s="1">
        <v>3</v>
      </c>
      <c r="C20" t="s">
        <v>166</v>
      </c>
      <c r="D20"/>
    </row>
    <row r="21" spans="1:4" ht="17.100000000000001" customHeight="1" x14ac:dyDescent="0.25">
      <c r="A21" t="s">
        <v>183</v>
      </c>
      <c r="B21" s="1">
        <v>3</v>
      </c>
      <c r="C21" t="s">
        <v>166</v>
      </c>
      <c r="D21"/>
    </row>
    <row r="22" spans="1:4" ht="17.100000000000001" customHeight="1" x14ac:dyDescent="0.25">
      <c r="A22" t="s">
        <v>184</v>
      </c>
      <c r="B22" s="1">
        <v>4</v>
      </c>
      <c r="C22" t="s">
        <v>166</v>
      </c>
      <c r="D22"/>
    </row>
    <row r="23" spans="1:4" ht="17.100000000000001" customHeight="1" x14ac:dyDescent="0.25">
      <c r="A23" t="s">
        <v>185</v>
      </c>
      <c r="B23" s="1">
        <v>4</v>
      </c>
      <c r="C23" t="s">
        <v>166</v>
      </c>
      <c r="D23"/>
    </row>
    <row r="24" spans="1:4" ht="17.100000000000001" customHeight="1" x14ac:dyDescent="0.25">
      <c r="A24" t="s">
        <v>186</v>
      </c>
      <c r="B24" s="1">
        <v>4</v>
      </c>
      <c r="C24" t="s">
        <v>166</v>
      </c>
      <c r="D24"/>
    </row>
    <row r="25" spans="1:4" ht="17.100000000000001" customHeight="1" x14ac:dyDescent="0.25">
      <c r="A25" t="s">
        <v>187</v>
      </c>
      <c r="B25" s="1">
        <v>4</v>
      </c>
      <c r="C25" t="s">
        <v>166</v>
      </c>
      <c r="D25"/>
    </row>
    <row r="26" spans="1:4" ht="17.100000000000001" customHeight="1" x14ac:dyDescent="0.25">
      <c r="A26" t="s">
        <v>241</v>
      </c>
      <c r="B26" s="1">
        <v>1</v>
      </c>
      <c r="C26" t="s">
        <v>166</v>
      </c>
      <c r="D26"/>
    </row>
    <row r="27" spans="1:4" ht="17.100000000000001" customHeight="1" x14ac:dyDescent="0.25">
      <c r="A27" t="s">
        <v>188</v>
      </c>
      <c r="B27" s="1">
        <v>2</v>
      </c>
      <c r="C27" t="s">
        <v>166</v>
      </c>
      <c r="D27"/>
    </row>
    <row r="28" spans="1:4" ht="17.100000000000001" customHeight="1" x14ac:dyDescent="0.25">
      <c r="A28" t="s">
        <v>189</v>
      </c>
      <c r="B28" s="1">
        <v>3</v>
      </c>
      <c r="C28" t="s">
        <v>166</v>
      </c>
      <c r="D28"/>
    </row>
    <row r="29" spans="1:4" ht="17.100000000000001" customHeight="1" x14ac:dyDescent="0.25">
      <c r="A29" t="s">
        <v>190</v>
      </c>
      <c r="B29" s="1">
        <v>4</v>
      </c>
      <c r="C29" t="s">
        <v>166</v>
      </c>
      <c r="D29"/>
    </row>
    <row r="30" spans="1:4" ht="17.100000000000001" customHeight="1" x14ac:dyDescent="0.25">
      <c r="A30" t="s">
        <v>191</v>
      </c>
      <c r="B30" s="1">
        <v>4</v>
      </c>
      <c r="C30" t="s">
        <v>166</v>
      </c>
      <c r="D30"/>
    </row>
    <row r="31" spans="1:4" ht="17.100000000000001" customHeight="1" x14ac:dyDescent="0.25">
      <c r="A31" t="s">
        <v>192</v>
      </c>
      <c r="B31" s="1">
        <v>2</v>
      </c>
      <c r="C31" t="s">
        <v>166</v>
      </c>
      <c r="D31"/>
    </row>
    <row r="32" spans="1:4" ht="17.100000000000001" customHeight="1" x14ac:dyDescent="0.25">
      <c r="A32" t="s">
        <v>193</v>
      </c>
      <c r="B32" s="1">
        <v>3</v>
      </c>
      <c r="C32" t="s">
        <v>166</v>
      </c>
      <c r="D32"/>
    </row>
    <row r="33" spans="1:4" ht="17.100000000000001" customHeight="1" x14ac:dyDescent="0.25">
      <c r="A33" t="s">
        <v>286</v>
      </c>
      <c r="B33" s="1">
        <v>3</v>
      </c>
      <c r="C33" t="s">
        <v>166</v>
      </c>
      <c r="D33"/>
    </row>
    <row r="34" spans="1:4" ht="17.100000000000001" customHeight="1" x14ac:dyDescent="0.25">
      <c r="A34" t="s">
        <v>289</v>
      </c>
      <c r="B34" s="1">
        <v>4</v>
      </c>
      <c r="C34" t="s">
        <v>166</v>
      </c>
      <c r="D34"/>
    </row>
    <row r="35" spans="1:4" ht="17.100000000000001" customHeight="1" x14ac:dyDescent="0.25">
      <c r="A35" t="s">
        <v>287</v>
      </c>
      <c r="B35" s="1">
        <v>4</v>
      </c>
      <c r="C35" t="s">
        <v>166</v>
      </c>
      <c r="D35"/>
    </row>
    <row r="36" spans="1:4" ht="17.100000000000001" customHeight="1" x14ac:dyDescent="0.25">
      <c r="A36" t="s">
        <v>288</v>
      </c>
      <c r="B36" s="1">
        <v>4</v>
      </c>
      <c r="C36" t="s">
        <v>166</v>
      </c>
      <c r="D36"/>
    </row>
    <row r="37" spans="1:4" ht="17.100000000000001" customHeight="1" x14ac:dyDescent="0.25">
      <c r="A37" t="s">
        <v>246</v>
      </c>
      <c r="B37" s="1">
        <v>2</v>
      </c>
      <c r="C37" t="s">
        <v>166</v>
      </c>
      <c r="D37"/>
    </row>
    <row r="38" spans="1:4" ht="17.100000000000001" customHeight="1" x14ac:dyDescent="0.25">
      <c r="A38" t="s">
        <v>247</v>
      </c>
      <c r="B38" s="1">
        <v>3</v>
      </c>
      <c r="C38" t="s">
        <v>166</v>
      </c>
      <c r="D38"/>
    </row>
    <row r="39" spans="1:4" ht="17.100000000000001" customHeight="1" x14ac:dyDescent="0.25">
      <c r="D39"/>
    </row>
    <row r="40" spans="1:4" ht="17.100000000000001" customHeight="1" x14ac:dyDescent="0.25">
      <c r="A40" s="12" t="s">
        <v>194</v>
      </c>
      <c r="B40" s="69"/>
      <c r="D40"/>
    </row>
    <row r="41" spans="1:4" ht="17.100000000000001" customHeight="1" x14ac:dyDescent="0.25">
      <c r="A41" t="s">
        <v>195</v>
      </c>
      <c r="B41" s="1">
        <v>4</v>
      </c>
      <c r="C41" t="s">
        <v>285</v>
      </c>
      <c r="D41"/>
    </row>
    <row r="42" spans="1:4" ht="17.100000000000001" customHeight="1" x14ac:dyDescent="0.25">
      <c r="A42" t="s">
        <v>196</v>
      </c>
      <c r="B42" s="1">
        <v>4</v>
      </c>
      <c r="C42" t="s">
        <v>285</v>
      </c>
      <c r="D42"/>
    </row>
    <row r="43" spans="1:4" ht="17.100000000000001" customHeight="1" x14ac:dyDescent="0.25">
      <c r="A43" t="s">
        <v>197</v>
      </c>
      <c r="B43" s="1">
        <v>3</v>
      </c>
      <c r="C43" t="s">
        <v>285</v>
      </c>
      <c r="D43"/>
    </row>
    <row r="44" spans="1:4" ht="17.100000000000001" customHeight="1" x14ac:dyDescent="0.25">
      <c r="A44" t="s">
        <v>6</v>
      </c>
      <c r="B44" s="1">
        <v>3</v>
      </c>
      <c r="C44" t="s">
        <v>285</v>
      </c>
      <c r="D44"/>
    </row>
    <row r="45" spans="1:4" ht="17.100000000000001" customHeight="1" x14ac:dyDescent="0.25">
      <c r="A45" t="s">
        <v>293</v>
      </c>
      <c r="B45" s="1">
        <v>3</v>
      </c>
      <c r="C45" t="s">
        <v>285</v>
      </c>
      <c r="D45"/>
    </row>
    <row r="46" spans="1:4" ht="17.100000000000001" customHeight="1" x14ac:dyDescent="0.25">
      <c r="D46"/>
    </row>
    <row r="47" spans="1:4" ht="17.100000000000001" customHeight="1" x14ac:dyDescent="0.25">
      <c r="A47" s="12" t="s">
        <v>198</v>
      </c>
      <c r="D47"/>
    </row>
    <row r="48" spans="1:4" ht="17.100000000000001" customHeight="1" x14ac:dyDescent="0.25">
      <c r="A48" s="12" t="s">
        <v>173</v>
      </c>
      <c r="D48"/>
    </row>
    <row r="49" spans="1:4" ht="17.100000000000001" customHeight="1" x14ac:dyDescent="0.25">
      <c r="A49" t="s">
        <v>318</v>
      </c>
      <c r="B49" s="1">
        <v>2</v>
      </c>
      <c r="C49" t="s">
        <v>167</v>
      </c>
      <c r="D49"/>
    </row>
    <row r="50" spans="1:4" ht="17.100000000000001" customHeight="1" x14ac:dyDescent="0.25">
      <c r="A50" t="s">
        <v>274</v>
      </c>
      <c r="B50" s="1">
        <v>2</v>
      </c>
      <c r="C50" t="s">
        <v>167</v>
      </c>
      <c r="D50"/>
    </row>
    <row r="51" spans="1:4" ht="17.100000000000001" customHeight="1" x14ac:dyDescent="0.25">
      <c r="A51" t="s">
        <v>199</v>
      </c>
      <c r="B51" s="1">
        <v>3</v>
      </c>
      <c r="C51" t="s">
        <v>167</v>
      </c>
      <c r="D51"/>
    </row>
    <row r="52" spans="1:4" ht="17.100000000000001" customHeight="1" x14ac:dyDescent="0.25">
      <c r="A52" t="s">
        <v>321</v>
      </c>
      <c r="B52" s="1">
        <v>3</v>
      </c>
      <c r="C52" t="s">
        <v>167</v>
      </c>
      <c r="D52"/>
    </row>
    <row r="53" spans="1:4" ht="17.100000000000001" customHeight="1" x14ac:dyDescent="0.25">
      <c r="A53" t="s">
        <v>275</v>
      </c>
      <c r="B53" s="1">
        <v>4</v>
      </c>
      <c r="C53" t="s">
        <v>167</v>
      </c>
      <c r="D53"/>
    </row>
    <row r="54" spans="1:4" ht="17.100000000000001" customHeight="1" x14ac:dyDescent="0.25">
      <c r="A54" t="s">
        <v>320</v>
      </c>
      <c r="B54" s="1">
        <v>4</v>
      </c>
      <c r="C54" t="s">
        <v>167</v>
      </c>
      <c r="D54"/>
    </row>
    <row r="55" spans="1:4" ht="17.100000000000001" customHeight="1" x14ac:dyDescent="0.25">
      <c r="A55" t="s">
        <v>200</v>
      </c>
      <c r="B55" s="1">
        <v>2</v>
      </c>
      <c r="C55" t="s">
        <v>167</v>
      </c>
      <c r="D55"/>
    </row>
    <row r="56" spans="1:4" ht="17.100000000000001" customHeight="1" x14ac:dyDescent="0.25">
      <c r="A56" t="s">
        <v>319</v>
      </c>
      <c r="B56" s="1">
        <v>2</v>
      </c>
      <c r="C56" t="s">
        <v>167</v>
      </c>
      <c r="D56"/>
    </row>
    <row r="57" spans="1:4" ht="17.100000000000001" customHeight="1" x14ac:dyDescent="0.25">
      <c r="D57"/>
    </row>
    <row r="58" spans="1:4" ht="17.100000000000001" customHeight="1" x14ac:dyDescent="0.25">
      <c r="A58" s="12" t="s">
        <v>4</v>
      </c>
    </row>
    <row r="59" spans="1:4" ht="17.100000000000001" customHeight="1" x14ac:dyDescent="0.25">
      <c r="A59" t="s">
        <v>201</v>
      </c>
      <c r="B59" s="1">
        <v>3</v>
      </c>
      <c r="C59" t="s">
        <v>167</v>
      </c>
    </row>
    <row r="60" spans="1:4" ht="17.100000000000001" customHeight="1" x14ac:dyDescent="0.25">
      <c r="A60" t="s">
        <v>302</v>
      </c>
      <c r="B60" s="1">
        <v>4</v>
      </c>
      <c r="C60" t="s">
        <v>167</v>
      </c>
      <c r="D60"/>
    </row>
    <row r="61" spans="1:4" ht="17.100000000000001" customHeight="1" x14ac:dyDescent="0.25">
      <c r="A61" t="s">
        <v>202</v>
      </c>
      <c r="B61" s="1">
        <v>2</v>
      </c>
      <c r="C61" t="s">
        <v>167</v>
      </c>
      <c r="D61"/>
    </row>
    <row r="62" spans="1:4" ht="17.100000000000001" customHeight="1" x14ac:dyDescent="0.25">
      <c r="A62" t="s">
        <v>203</v>
      </c>
      <c r="B62" s="1">
        <v>3</v>
      </c>
      <c r="C62" t="s">
        <v>167</v>
      </c>
      <c r="D62"/>
    </row>
    <row r="63" spans="1:4" ht="17.100000000000001" customHeight="1" x14ac:dyDescent="0.25">
      <c r="A63" t="s">
        <v>297</v>
      </c>
      <c r="B63" s="1">
        <v>3</v>
      </c>
      <c r="C63" t="s">
        <v>167</v>
      </c>
      <c r="D63"/>
    </row>
    <row r="64" spans="1:4" ht="17.100000000000001" customHeight="1" x14ac:dyDescent="0.25">
      <c r="A64" t="s">
        <v>204</v>
      </c>
      <c r="B64" s="1">
        <v>2</v>
      </c>
      <c r="C64" t="s">
        <v>167</v>
      </c>
      <c r="D64"/>
    </row>
    <row r="65" spans="1:4" ht="17.100000000000001" customHeight="1" x14ac:dyDescent="0.25">
      <c r="A65" t="s">
        <v>298</v>
      </c>
      <c r="B65" s="1">
        <v>3</v>
      </c>
      <c r="C65" t="s">
        <v>167</v>
      </c>
      <c r="D65"/>
    </row>
    <row r="66" spans="1:4" ht="17.100000000000001" customHeight="1" x14ac:dyDescent="0.25">
      <c r="A66" t="s">
        <v>207</v>
      </c>
      <c r="B66" s="1">
        <v>2</v>
      </c>
      <c r="C66" t="s">
        <v>167</v>
      </c>
      <c r="D66"/>
    </row>
    <row r="67" spans="1:4" ht="17.100000000000001" customHeight="1" x14ac:dyDescent="0.25">
      <c r="A67" t="s">
        <v>299</v>
      </c>
      <c r="B67" s="1">
        <v>3</v>
      </c>
      <c r="C67" t="s">
        <v>167</v>
      </c>
      <c r="D67"/>
    </row>
    <row r="68" spans="1:4" ht="17.100000000000001" customHeight="1" x14ac:dyDescent="0.25">
      <c r="A68" t="s">
        <v>208</v>
      </c>
      <c r="B68" s="1">
        <v>2</v>
      </c>
      <c r="C68" t="s">
        <v>167</v>
      </c>
      <c r="D68"/>
    </row>
    <row r="69" spans="1:4" ht="17.100000000000001" customHeight="1" x14ac:dyDescent="0.25">
      <c r="A69" t="s">
        <v>296</v>
      </c>
      <c r="B69" s="1">
        <v>2</v>
      </c>
      <c r="C69" t="s">
        <v>167</v>
      </c>
      <c r="D69"/>
    </row>
    <row r="70" spans="1:4" ht="17.100000000000001" customHeight="1" x14ac:dyDescent="0.25">
      <c r="A70" t="s">
        <v>209</v>
      </c>
      <c r="B70" s="1">
        <v>4</v>
      </c>
      <c r="C70" t="s">
        <v>167</v>
      </c>
      <c r="D70"/>
    </row>
    <row r="71" spans="1:4" ht="17.100000000000001" customHeight="1" x14ac:dyDescent="0.25">
      <c r="A71" t="s">
        <v>254</v>
      </c>
      <c r="B71" s="1">
        <v>4</v>
      </c>
      <c r="C71" t="s">
        <v>167</v>
      </c>
      <c r="D71"/>
    </row>
    <row r="72" spans="1:4" ht="17.100000000000001" customHeight="1" x14ac:dyDescent="0.25">
      <c r="A72" t="s">
        <v>250</v>
      </c>
      <c r="B72" s="1">
        <v>2</v>
      </c>
      <c r="C72" t="s">
        <v>167</v>
      </c>
      <c r="D72"/>
    </row>
    <row r="73" spans="1:4" ht="17.100000000000001" customHeight="1" x14ac:dyDescent="0.25">
      <c r="A73" t="s">
        <v>253</v>
      </c>
      <c r="B73" s="1">
        <v>3</v>
      </c>
      <c r="C73" t="s">
        <v>167</v>
      </c>
      <c r="D73"/>
    </row>
    <row r="74" spans="1:4" ht="17.100000000000001" customHeight="1" x14ac:dyDescent="0.25">
      <c r="A74" t="s">
        <v>252</v>
      </c>
      <c r="B74" s="1">
        <v>2</v>
      </c>
      <c r="C74" t="s">
        <v>167</v>
      </c>
      <c r="D74"/>
    </row>
    <row r="75" spans="1:4" ht="17.100000000000001" customHeight="1" x14ac:dyDescent="0.25">
      <c r="A75" t="s">
        <v>300</v>
      </c>
      <c r="B75" s="1">
        <v>3</v>
      </c>
      <c r="C75" t="s">
        <v>167</v>
      </c>
      <c r="D75"/>
    </row>
    <row r="76" spans="1:4" ht="17.100000000000001" customHeight="1" x14ac:dyDescent="0.25">
      <c r="A76" t="s">
        <v>301</v>
      </c>
      <c r="B76" s="1">
        <v>3</v>
      </c>
      <c r="C76" t="s">
        <v>167</v>
      </c>
      <c r="D76"/>
    </row>
    <row r="77" spans="1:4" ht="17.100000000000001" customHeight="1" x14ac:dyDescent="0.25">
      <c r="D77"/>
    </row>
    <row r="78" spans="1:4" ht="17.100000000000001" customHeight="1" x14ac:dyDescent="0.25">
      <c r="A78" s="12" t="s">
        <v>307</v>
      </c>
      <c r="D78"/>
    </row>
    <row r="79" spans="1:4" ht="17.100000000000001" customHeight="1" x14ac:dyDescent="0.25">
      <c r="A79" t="s">
        <v>255</v>
      </c>
      <c r="B79" s="1">
        <v>4</v>
      </c>
      <c r="C79" t="s">
        <v>167</v>
      </c>
      <c r="D79"/>
    </row>
    <row r="80" spans="1:4" ht="17.100000000000001" customHeight="1" x14ac:dyDescent="0.25">
      <c r="A80" t="s">
        <v>205</v>
      </c>
      <c r="B80" s="1">
        <v>3</v>
      </c>
      <c r="C80" t="s">
        <v>167</v>
      </c>
      <c r="D80"/>
    </row>
    <row r="81" spans="1:4" ht="17.100000000000001" customHeight="1" x14ac:dyDescent="0.25">
      <c r="A81" t="s">
        <v>304</v>
      </c>
      <c r="B81" s="1">
        <v>3</v>
      </c>
      <c r="C81" t="s">
        <v>167</v>
      </c>
      <c r="D81"/>
    </row>
    <row r="82" spans="1:4" ht="17.100000000000001" customHeight="1" x14ac:dyDescent="0.25">
      <c r="A82" t="s">
        <v>306</v>
      </c>
      <c r="B82" s="1">
        <v>3</v>
      </c>
      <c r="C82" t="s">
        <v>167</v>
      </c>
      <c r="D82"/>
    </row>
    <row r="83" spans="1:4" ht="17.100000000000001" customHeight="1" x14ac:dyDescent="0.25">
      <c r="A83" t="s">
        <v>249</v>
      </c>
      <c r="B83" s="1">
        <v>2</v>
      </c>
      <c r="C83" t="s">
        <v>167</v>
      </c>
      <c r="D83"/>
    </row>
    <row r="84" spans="1:4" ht="17.100000000000001" customHeight="1" x14ac:dyDescent="0.25">
      <c r="A84" t="s">
        <v>305</v>
      </c>
      <c r="B84" s="1">
        <v>3</v>
      </c>
      <c r="C84" t="s">
        <v>167</v>
      </c>
      <c r="D84"/>
    </row>
    <row r="85" spans="1:4" ht="17.100000000000001" customHeight="1" x14ac:dyDescent="0.25">
      <c r="A85" t="s">
        <v>206</v>
      </c>
      <c r="B85" s="1">
        <v>2</v>
      </c>
      <c r="C85" t="s">
        <v>167</v>
      </c>
      <c r="D85"/>
    </row>
    <row r="86" spans="1:4" ht="17.100000000000001" customHeight="1" x14ac:dyDescent="0.25">
      <c r="A86" t="s">
        <v>251</v>
      </c>
      <c r="B86" s="1">
        <v>2</v>
      </c>
      <c r="C86" t="s">
        <v>167</v>
      </c>
      <c r="D86"/>
    </row>
    <row r="87" spans="1:4" ht="17.100000000000001" customHeight="1" x14ac:dyDescent="0.25">
      <c r="A87" t="s">
        <v>303</v>
      </c>
      <c r="B87" s="1">
        <v>2</v>
      </c>
      <c r="C87" t="s">
        <v>167</v>
      </c>
      <c r="D87"/>
    </row>
    <row r="88" spans="1:4" ht="17.100000000000001" customHeight="1" x14ac:dyDescent="0.25">
      <c r="A88" t="s">
        <v>248</v>
      </c>
      <c r="B88" s="1">
        <v>2</v>
      </c>
      <c r="C88" t="s">
        <v>167</v>
      </c>
      <c r="D88"/>
    </row>
    <row r="89" spans="1:4" ht="17.100000000000001" customHeight="1" x14ac:dyDescent="0.25">
      <c r="A89" t="s">
        <v>254</v>
      </c>
      <c r="B89" s="1">
        <v>4</v>
      </c>
      <c r="C89" t="s">
        <v>167</v>
      </c>
      <c r="D89"/>
    </row>
    <row r="90" spans="1:4" ht="17.100000000000001" customHeight="1" x14ac:dyDescent="0.25">
      <c r="A90" s="12"/>
      <c r="D90"/>
    </row>
    <row r="91" spans="1:4" ht="17.100000000000001" customHeight="1" x14ac:dyDescent="0.25">
      <c r="A91" s="12" t="s">
        <v>210</v>
      </c>
    </row>
    <row r="92" spans="1:4" ht="17.100000000000001" customHeight="1" x14ac:dyDescent="0.25">
      <c r="A92" t="s">
        <v>313</v>
      </c>
      <c r="B92" s="99">
        <v>4</v>
      </c>
      <c r="C92" t="s">
        <v>167</v>
      </c>
      <c r="D92"/>
    </row>
    <row r="93" spans="1:4" ht="17.100000000000001" customHeight="1" x14ac:dyDescent="0.25">
      <c r="A93" t="s">
        <v>256</v>
      </c>
      <c r="B93" s="99">
        <v>2</v>
      </c>
      <c r="C93" t="s">
        <v>167</v>
      </c>
      <c r="D93"/>
    </row>
    <row r="94" spans="1:4" ht="17.100000000000001" customHeight="1" x14ac:dyDescent="0.25">
      <c r="A94" t="s">
        <v>211</v>
      </c>
      <c r="B94" s="99">
        <v>3</v>
      </c>
      <c r="C94" t="s">
        <v>167</v>
      </c>
      <c r="D94"/>
    </row>
    <row r="95" spans="1:4" ht="17.100000000000001" customHeight="1" x14ac:dyDescent="0.25">
      <c r="A95" t="s">
        <v>257</v>
      </c>
      <c r="B95" s="99">
        <v>3</v>
      </c>
      <c r="C95" t="s">
        <v>167</v>
      </c>
      <c r="D95"/>
    </row>
    <row r="96" spans="1:4" ht="17.100000000000001" customHeight="1" x14ac:dyDescent="0.25">
      <c r="A96" t="s">
        <v>212</v>
      </c>
      <c r="B96" s="99">
        <v>3</v>
      </c>
      <c r="C96" t="s">
        <v>167</v>
      </c>
      <c r="D96"/>
    </row>
    <row r="97" spans="1:4" ht="17.100000000000001" customHeight="1" x14ac:dyDescent="0.25">
      <c r="A97" t="s">
        <v>258</v>
      </c>
      <c r="B97" s="99">
        <v>3</v>
      </c>
      <c r="C97" t="s">
        <v>167</v>
      </c>
      <c r="D97"/>
    </row>
    <row r="98" spans="1:4" ht="17.100000000000001" customHeight="1" x14ac:dyDescent="0.25">
      <c r="A98" t="s">
        <v>213</v>
      </c>
      <c r="B98" s="99">
        <v>2</v>
      </c>
      <c r="C98" t="s">
        <v>167</v>
      </c>
      <c r="D98"/>
    </row>
    <row r="99" spans="1:4" ht="17.100000000000001" customHeight="1" x14ac:dyDescent="0.25">
      <c r="A99" t="s">
        <v>309</v>
      </c>
      <c r="B99" s="99">
        <v>2</v>
      </c>
      <c r="C99" t="s">
        <v>167</v>
      </c>
      <c r="D99"/>
    </row>
    <row r="100" spans="1:4" ht="17.100000000000001" customHeight="1" x14ac:dyDescent="0.25">
      <c r="A100" t="s">
        <v>312</v>
      </c>
      <c r="B100" s="99">
        <v>4</v>
      </c>
      <c r="C100" t="s">
        <v>167</v>
      </c>
      <c r="D100"/>
    </row>
    <row r="101" spans="1:4" ht="17.100000000000001" customHeight="1" x14ac:dyDescent="0.25">
      <c r="A101" t="s">
        <v>259</v>
      </c>
      <c r="B101" s="99">
        <v>4</v>
      </c>
      <c r="C101" t="s">
        <v>167</v>
      </c>
      <c r="D101"/>
    </row>
    <row r="102" spans="1:4" ht="17.100000000000001" customHeight="1" x14ac:dyDescent="0.25">
      <c r="A102" t="s">
        <v>260</v>
      </c>
      <c r="B102" s="99">
        <v>4</v>
      </c>
      <c r="C102" t="s">
        <v>167</v>
      </c>
      <c r="D102"/>
    </row>
    <row r="103" spans="1:4" ht="17.100000000000001" customHeight="1" x14ac:dyDescent="0.25">
      <c r="A103" t="s">
        <v>261</v>
      </c>
      <c r="B103" s="99">
        <v>4</v>
      </c>
      <c r="C103" t="s">
        <v>167</v>
      </c>
      <c r="D103"/>
    </row>
    <row r="104" spans="1:4" ht="17.100000000000001" customHeight="1" x14ac:dyDescent="0.25">
      <c r="A104" t="s">
        <v>308</v>
      </c>
      <c r="B104" s="99">
        <v>1</v>
      </c>
      <c r="C104" t="s">
        <v>167</v>
      </c>
      <c r="D104"/>
    </row>
    <row r="105" spans="1:4" ht="17.100000000000001" customHeight="1" x14ac:dyDescent="0.25">
      <c r="A105" t="s">
        <v>262</v>
      </c>
      <c r="B105" s="99">
        <v>3</v>
      </c>
      <c r="C105" t="s">
        <v>167</v>
      </c>
      <c r="D105"/>
    </row>
    <row r="106" spans="1:4" ht="17.100000000000001" customHeight="1" x14ac:dyDescent="0.25">
      <c r="A106" t="s">
        <v>263</v>
      </c>
      <c r="B106" s="99">
        <v>3</v>
      </c>
      <c r="C106" t="s">
        <v>167</v>
      </c>
      <c r="D106"/>
    </row>
    <row r="107" spans="1:4" ht="17.100000000000001" customHeight="1" x14ac:dyDescent="0.25">
      <c r="A107" t="s">
        <v>264</v>
      </c>
      <c r="B107" s="99">
        <v>3</v>
      </c>
      <c r="C107" t="s">
        <v>167</v>
      </c>
      <c r="D107"/>
    </row>
    <row r="108" spans="1:4" ht="17.100000000000001" customHeight="1" x14ac:dyDescent="0.25">
      <c r="A108" t="s">
        <v>310</v>
      </c>
      <c r="B108" s="99">
        <v>2</v>
      </c>
      <c r="C108" t="s">
        <v>167</v>
      </c>
      <c r="D108"/>
    </row>
    <row r="109" spans="1:4" ht="17.100000000000001" customHeight="1" x14ac:dyDescent="0.25">
      <c r="A109" t="s">
        <v>311</v>
      </c>
      <c r="B109" s="99">
        <v>3</v>
      </c>
      <c r="C109" t="s">
        <v>167</v>
      </c>
      <c r="D109"/>
    </row>
    <row r="110" spans="1:4" ht="17.100000000000001" customHeight="1" x14ac:dyDescent="0.25">
      <c r="A110" t="s">
        <v>265</v>
      </c>
      <c r="B110" s="99">
        <v>4</v>
      </c>
      <c r="C110" t="s">
        <v>167</v>
      </c>
      <c r="D110"/>
    </row>
    <row r="111" spans="1:4" ht="17.100000000000001" customHeight="1" x14ac:dyDescent="0.25">
      <c r="D111"/>
    </row>
    <row r="112" spans="1:4" ht="17.100000000000001" customHeight="1" x14ac:dyDescent="0.25">
      <c r="A112" s="12" t="s">
        <v>214</v>
      </c>
      <c r="D112"/>
    </row>
    <row r="113" spans="1:4" ht="17.100000000000001" customHeight="1" x14ac:dyDescent="0.25">
      <c r="A113" t="s">
        <v>315</v>
      </c>
      <c r="B113" s="1">
        <v>4</v>
      </c>
      <c r="C113" t="s">
        <v>167</v>
      </c>
      <c r="D113"/>
    </row>
    <row r="114" spans="1:4" ht="17.100000000000001" customHeight="1" x14ac:dyDescent="0.25">
      <c r="A114" t="s">
        <v>215</v>
      </c>
      <c r="B114" s="1">
        <v>3</v>
      </c>
      <c r="C114" t="s">
        <v>167</v>
      </c>
      <c r="D114"/>
    </row>
    <row r="115" spans="1:4" ht="17.100000000000001" customHeight="1" x14ac:dyDescent="0.25">
      <c r="A115" t="s">
        <v>216</v>
      </c>
      <c r="B115" s="1">
        <v>4</v>
      </c>
      <c r="C115" t="s">
        <v>167</v>
      </c>
      <c r="D115"/>
    </row>
    <row r="116" spans="1:4" ht="17.100000000000001" customHeight="1" x14ac:dyDescent="0.25">
      <c r="A116" t="s">
        <v>266</v>
      </c>
      <c r="B116" s="1">
        <v>4</v>
      </c>
      <c r="C116" t="s">
        <v>167</v>
      </c>
    </row>
    <row r="117" spans="1:4" ht="17.100000000000001" customHeight="1" x14ac:dyDescent="0.25">
      <c r="A117" t="s">
        <v>314</v>
      </c>
      <c r="B117" s="1">
        <v>2</v>
      </c>
      <c r="C117" t="s">
        <v>167</v>
      </c>
    </row>
    <row r="118" spans="1:4" ht="17.100000000000001" customHeight="1" x14ac:dyDescent="0.25">
      <c r="A118" t="s">
        <v>317</v>
      </c>
      <c r="B118" s="1">
        <v>3</v>
      </c>
      <c r="C118" t="s">
        <v>167</v>
      </c>
    </row>
    <row r="119" spans="1:4" ht="17.100000000000001" customHeight="1" x14ac:dyDescent="0.25">
      <c r="A119" t="s">
        <v>316</v>
      </c>
      <c r="B119" s="1">
        <v>4</v>
      </c>
      <c r="C119" t="s">
        <v>167</v>
      </c>
    </row>
    <row r="120" spans="1:4" ht="17.100000000000001" customHeight="1" x14ac:dyDescent="0.25">
      <c r="D120"/>
    </row>
    <row r="121" spans="1:4" ht="17.100000000000001" customHeight="1" x14ac:dyDescent="0.25">
      <c r="A121" s="12" t="s">
        <v>176</v>
      </c>
    </row>
    <row r="122" spans="1:4" ht="17.100000000000001" customHeight="1" x14ac:dyDescent="0.25">
      <c r="A122" t="s">
        <v>272</v>
      </c>
      <c r="B122" s="1">
        <v>4</v>
      </c>
      <c r="C122" t="s">
        <v>167</v>
      </c>
    </row>
    <row r="123" spans="1:4" ht="17.100000000000001" customHeight="1" x14ac:dyDescent="0.25">
      <c r="A123" t="s">
        <v>217</v>
      </c>
      <c r="B123" s="1">
        <v>3</v>
      </c>
      <c r="C123" t="s">
        <v>167</v>
      </c>
    </row>
    <row r="124" spans="1:4" ht="17.100000000000001" customHeight="1" x14ac:dyDescent="0.25">
      <c r="A124" t="s">
        <v>218</v>
      </c>
      <c r="B124" s="1">
        <v>2</v>
      </c>
      <c r="C124" t="s">
        <v>167</v>
      </c>
    </row>
    <row r="125" spans="1:4" ht="17.100000000000001" customHeight="1" x14ac:dyDescent="0.25">
      <c r="A125" t="s">
        <v>273</v>
      </c>
      <c r="B125" s="1">
        <v>2</v>
      </c>
      <c r="C125" t="s">
        <v>167</v>
      </c>
    </row>
    <row r="126" spans="1:4" ht="17.100000000000001" customHeight="1" x14ac:dyDescent="0.25">
      <c r="A126" t="s">
        <v>219</v>
      </c>
      <c r="B126" s="1">
        <v>3</v>
      </c>
      <c r="C126" t="s">
        <v>167</v>
      </c>
    </row>
    <row r="127" spans="1:4" ht="17.100000000000001" customHeight="1" x14ac:dyDescent="0.25">
      <c r="A127" t="s">
        <v>270</v>
      </c>
      <c r="B127" s="1">
        <v>3</v>
      </c>
      <c r="C127" t="s">
        <v>167</v>
      </c>
      <c r="D127"/>
    </row>
    <row r="128" spans="1:4" ht="17.100000000000001" customHeight="1" x14ac:dyDescent="0.25">
      <c r="A128" t="s">
        <v>220</v>
      </c>
      <c r="B128" s="1">
        <v>4</v>
      </c>
      <c r="C128" t="s">
        <v>167</v>
      </c>
      <c r="D128"/>
    </row>
    <row r="129" spans="1:4" ht="17.100000000000001" customHeight="1" x14ac:dyDescent="0.25">
      <c r="A129" t="s">
        <v>271</v>
      </c>
      <c r="B129" s="1">
        <v>4</v>
      </c>
      <c r="C129" t="s">
        <v>167</v>
      </c>
      <c r="D129"/>
    </row>
    <row r="130" spans="1:4" ht="17.100000000000001" customHeight="1" x14ac:dyDescent="0.25">
      <c r="A130" t="s">
        <v>221</v>
      </c>
      <c r="B130" s="1">
        <v>2</v>
      </c>
      <c r="C130" t="s">
        <v>167</v>
      </c>
      <c r="D130"/>
    </row>
    <row r="131" spans="1:4" ht="17.100000000000001" customHeight="1" x14ac:dyDescent="0.25">
      <c r="A131" t="s">
        <v>322</v>
      </c>
      <c r="B131" s="1">
        <v>2</v>
      </c>
      <c r="C131" t="s">
        <v>167</v>
      </c>
      <c r="D131"/>
    </row>
    <row r="132" spans="1:4" ht="17.100000000000001" customHeight="1" x14ac:dyDescent="0.25">
      <c r="A132" t="s">
        <v>222</v>
      </c>
      <c r="B132" s="1">
        <v>3</v>
      </c>
      <c r="C132" t="s">
        <v>167</v>
      </c>
      <c r="D132"/>
    </row>
    <row r="133" spans="1:4" ht="17.100000000000001" customHeight="1" x14ac:dyDescent="0.25">
      <c r="A133" t="s">
        <v>269</v>
      </c>
      <c r="B133" s="1">
        <v>3</v>
      </c>
      <c r="C133" t="s">
        <v>167</v>
      </c>
      <c r="D133"/>
    </row>
    <row r="134" spans="1:4" ht="17.100000000000001" customHeight="1" x14ac:dyDescent="0.25">
      <c r="A134" t="s">
        <v>268</v>
      </c>
      <c r="B134" s="1">
        <v>4</v>
      </c>
      <c r="C134" t="s">
        <v>167</v>
      </c>
      <c r="D134"/>
    </row>
    <row r="135" spans="1:4" ht="17.100000000000001" customHeight="1" x14ac:dyDescent="0.25">
      <c r="A135" t="s">
        <v>267</v>
      </c>
      <c r="B135" s="1">
        <v>4</v>
      </c>
      <c r="C135" t="s">
        <v>167</v>
      </c>
      <c r="D135"/>
    </row>
    <row r="136" spans="1:4" ht="17.100000000000001" customHeight="1" x14ac:dyDescent="0.25">
      <c r="A136" t="s">
        <v>323</v>
      </c>
      <c r="B136" s="1">
        <v>4</v>
      </c>
      <c r="C136" t="s">
        <v>167</v>
      </c>
      <c r="D136"/>
    </row>
    <row r="137" spans="1:4" ht="17.100000000000001" customHeight="1" x14ac:dyDescent="0.25">
      <c r="D137"/>
    </row>
    <row r="138" spans="1:4" ht="17.100000000000001" customHeight="1" x14ac:dyDescent="0.25">
      <c r="A138" s="27" t="s">
        <v>223</v>
      </c>
      <c r="D138"/>
    </row>
    <row r="139" spans="1:4" ht="17.100000000000001" customHeight="1" x14ac:dyDescent="0.25">
      <c r="A139" t="s">
        <v>225</v>
      </c>
      <c r="B139" s="1" t="s">
        <v>294</v>
      </c>
      <c r="C139" t="s">
        <v>169</v>
      </c>
      <c r="D139"/>
    </row>
    <row r="140" spans="1:4" ht="17.100000000000001" customHeight="1" x14ac:dyDescent="0.25">
      <c r="A140" t="s">
        <v>224</v>
      </c>
      <c r="B140" s="1" t="s">
        <v>294</v>
      </c>
      <c r="C140" t="s">
        <v>169</v>
      </c>
      <c r="D140"/>
    </row>
    <row r="141" spans="1:4" ht="17.100000000000001" customHeight="1" x14ac:dyDescent="0.25">
      <c r="A141" t="s">
        <v>226</v>
      </c>
      <c r="B141" s="1">
        <v>4</v>
      </c>
      <c r="C141" t="s">
        <v>169</v>
      </c>
      <c r="D141"/>
    </row>
    <row r="142" spans="1:4" ht="17.100000000000001" customHeight="1" x14ac:dyDescent="0.25">
      <c r="A142" t="s">
        <v>227</v>
      </c>
      <c r="B142" s="1">
        <v>4</v>
      </c>
      <c r="C142" t="s">
        <v>169</v>
      </c>
      <c r="D142"/>
    </row>
    <row r="143" spans="1:4" ht="17.100000000000001" customHeight="1" x14ac:dyDescent="0.25">
      <c r="A143" t="s">
        <v>228</v>
      </c>
      <c r="B143" s="1">
        <v>3</v>
      </c>
      <c r="C143" t="s">
        <v>169</v>
      </c>
      <c r="D143"/>
    </row>
    <row r="144" spans="1:4" ht="17.100000000000001" customHeight="1" x14ac:dyDescent="0.25">
      <c r="A144" t="s">
        <v>228</v>
      </c>
      <c r="B144" s="1">
        <v>3</v>
      </c>
      <c r="C144" t="s">
        <v>169</v>
      </c>
      <c r="D144"/>
    </row>
    <row r="145" spans="1:4" ht="17.100000000000001" customHeight="1" x14ac:dyDescent="0.25">
      <c r="A145" t="s">
        <v>229</v>
      </c>
      <c r="B145" s="1">
        <v>4</v>
      </c>
      <c r="C145" t="s">
        <v>169</v>
      </c>
      <c r="D145"/>
    </row>
    <row r="146" spans="1:4" ht="17.100000000000001" customHeight="1" x14ac:dyDescent="0.25">
      <c r="A146" t="s">
        <v>230</v>
      </c>
      <c r="B146" s="1">
        <v>4</v>
      </c>
      <c r="C146" t="s">
        <v>169</v>
      </c>
      <c r="D146"/>
    </row>
    <row r="147" spans="1:4" ht="17.100000000000001" customHeight="1" x14ac:dyDescent="0.25">
      <c r="A147" t="s">
        <v>231</v>
      </c>
      <c r="B147" s="1">
        <v>4</v>
      </c>
      <c r="C147" t="s">
        <v>169</v>
      </c>
      <c r="D147"/>
    </row>
    <row r="148" spans="1:4" ht="17.100000000000001" customHeight="1" x14ac:dyDescent="0.25">
      <c r="A148" t="s">
        <v>232</v>
      </c>
      <c r="B148" s="1">
        <v>3</v>
      </c>
      <c r="C148" t="s">
        <v>169</v>
      </c>
      <c r="D148"/>
    </row>
    <row r="149" spans="1:4" ht="17.100000000000001" customHeight="1" x14ac:dyDescent="0.25">
      <c r="A149" t="s">
        <v>276</v>
      </c>
      <c r="B149" s="1">
        <v>4</v>
      </c>
      <c r="C149" t="s">
        <v>169</v>
      </c>
      <c r="D149"/>
    </row>
    <row r="150" spans="1:4" ht="17.100000000000001" customHeight="1" x14ac:dyDescent="0.25">
      <c r="D150"/>
    </row>
    <row r="151" spans="1:4" ht="17.100000000000001" customHeight="1" x14ac:dyDescent="0.25">
      <c r="A151" s="2"/>
    </row>
    <row r="152" spans="1:4" ht="17.100000000000001" customHeight="1" x14ac:dyDescent="0.25">
      <c r="A152" s="2"/>
    </row>
    <row r="153" spans="1:4" ht="17.100000000000001" customHeight="1" x14ac:dyDescent="0.25">
      <c r="A153" s="2"/>
      <c r="D153"/>
    </row>
    <row r="154" spans="1:4" ht="17.100000000000001" customHeight="1" x14ac:dyDescent="0.25">
      <c r="A154" s="2"/>
      <c r="D154"/>
    </row>
    <row r="155" spans="1:4" ht="17.100000000000001" customHeight="1" x14ac:dyDescent="0.25">
      <c r="A155" s="2"/>
      <c r="D155"/>
    </row>
    <row r="156" spans="1:4" ht="17.100000000000001" customHeight="1" x14ac:dyDescent="0.25">
      <c r="A156" s="2"/>
      <c r="D156"/>
    </row>
    <row r="157" spans="1:4" ht="17.100000000000001" customHeight="1" x14ac:dyDescent="0.25">
      <c r="A157" s="2"/>
      <c r="D157"/>
    </row>
    <row r="158" spans="1:4" ht="17.100000000000001" customHeight="1" x14ac:dyDescent="0.25">
      <c r="D158"/>
    </row>
    <row r="159" spans="1:4" ht="17.100000000000001" customHeight="1" x14ac:dyDescent="0.25">
      <c r="D159"/>
    </row>
  </sheetData>
  <sortState xmlns:xlrd2="http://schemas.microsoft.com/office/spreadsheetml/2017/richdata2" ref="A2:A15">
    <sortCondition ref="A2:A15"/>
  </sortState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1"/>
  <dimension ref="B2:J36"/>
  <sheetViews>
    <sheetView topLeftCell="A14" workbookViewId="0">
      <selection activeCell="B32" sqref="B32"/>
    </sheetView>
  </sheetViews>
  <sheetFormatPr defaultColWidth="8.85546875" defaultRowHeight="15" x14ac:dyDescent="0.25"/>
  <sheetData>
    <row r="2" spans="2:10" x14ac:dyDescent="0.25">
      <c r="B2" s="23"/>
      <c r="C2" s="91" t="s">
        <v>38</v>
      </c>
      <c r="D2" s="91" t="s">
        <v>55</v>
      </c>
      <c r="E2" s="91" t="s">
        <v>37</v>
      </c>
      <c r="F2" s="91" t="s">
        <v>117</v>
      </c>
      <c r="G2" s="91" t="s">
        <v>118</v>
      </c>
      <c r="H2" s="176" t="s">
        <v>119</v>
      </c>
      <c r="I2" s="176"/>
      <c r="J2" s="92"/>
    </row>
    <row r="3" spans="2:10" ht="45" x14ac:dyDescent="0.25">
      <c r="B3" s="3" t="s">
        <v>22</v>
      </c>
      <c r="C3" s="4" t="s">
        <v>121</v>
      </c>
      <c r="D3" s="4" t="s">
        <v>121</v>
      </c>
      <c r="E3" s="4" t="s">
        <v>121</v>
      </c>
      <c r="F3" s="4" t="s">
        <v>121</v>
      </c>
      <c r="G3" s="4" t="s">
        <v>121</v>
      </c>
      <c r="H3" s="4" t="s">
        <v>108</v>
      </c>
      <c r="I3" s="4" t="s">
        <v>124</v>
      </c>
      <c r="J3" s="93" t="s">
        <v>233</v>
      </c>
    </row>
    <row r="4" spans="2:10" x14ac:dyDescent="0.25">
      <c r="B4" s="2">
        <v>25498</v>
      </c>
      <c r="C4" s="13">
        <v>1000</v>
      </c>
      <c r="D4" s="15">
        <v>600</v>
      </c>
      <c r="E4" s="14">
        <v>400</v>
      </c>
      <c r="F4" s="15">
        <f t="shared" ref="F4:F30" si="0">C4-D4-E4</f>
        <v>0</v>
      </c>
      <c r="G4" s="19">
        <v>600</v>
      </c>
      <c r="H4" s="15">
        <v>10</v>
      </c>
      <c r="I4" s="19">
        <v>1</v>
      </c>
      <c r="J4" s="15">
        <v>10</v>
      </c>
    </row>
    <row r="5" spans="2:10" x14ac:dyDescent="0.25">
      <c r="B5" s="2">
        <v>25499</v>
      </c>
      <c r="C5" s="13">
        <v>1000</v>
      </c>
      <c r="D5" s="15">
        <v>600</v>
      </c>
      <c r="E5" s="14">
        <v>400</v>
      </c>
      <c r="F5" s="15">
        <f t="shared" si="0"/>
        <v>0</v>
      </c>
      <c r="G5" s="19">
        <v>600</v>
      </c>
      <c r="H5" s="15">
        <v>10</v>
      </c>
      <c r="I5" s="19">
        <v>1</v>
      </c>
      <c r="J5" s="15">
        <v>10</v>
      </c>
    </row>
    <row r="6" spans="2:10" x14ac:dyDescent="0.25">
      <c r="B6" s="2">
        <v>25407</v>
      </c>
      <c r="C6" s="13">
        <v>2000</v>
      </c>
      <c r="D6" s="15">
        <v>1150</v>
      </c>
      <c r="E6" s="14">
        <v>400</v>
      </c>
      <c r="F6" s="15">
        <f t="shared" si="0"/>
        <v>450</v>
      </c>
      <c r="G6" s="19">
        <v>600</v>
      </c>
      <c r="H6" s="15">
        <v>20</v>
      </c>
      <c r="I6" s="19">
        <v>2</v>
      </c>
      <c r="J6" s="15">
        <v>20</v>
      </c>
    </row>
    <row r="7" spans="2:10" x14ac:dyDescent="0.25">
      <c r="B7" s="2">
        <v>25408</v>
      </c>
      <c r="C7" s="13">
        <v>2000</v>
      </c>
      <c r="D7" s="15">
        <v>1150</v>
      </c>
      <c r="E7" s="14">
        <v>400</v>
      </c>
      <c r="F7" s="15">
        <f t="shared" ref="F7:F9" si="1">C7-D7-E7</f>
        <v>450</v>
      </c>
      <c r="G7" s="19">
        <v>600</v>
      </c>
      <c r="H7" s="15">
        <v>20</v>
      </c>
      <c r="I7" s="19">
        <v>2</v>
      </c>
      <c r="J7" s="15">
        <v>20</v>
      </c>
    </row>
    <row r="8" spans="2:10" x14ac:dyDescent="0.25">
      <c r="B8" s="2">
        <v>25171</v>
      </c>
      <c r="C8" s="13">
        <v>2000</v>
      </c>
      <c r="D8" s="15">
        <v>1200</v>
      </c>
      <c r="E8" s="14">
        <v>450</v>
      </c>
      <c r="F8" s="15">
        <f t="shared" si="1"/>
        <v>350</v>
      </c>
      <c r="G8" s="19">
        <v>700</v>
      </c>
      <c r="H8" s="15">
        <v>20</v>
      </c>
      <c r="I8" s="19">
        <v>2</v>
      </c>
      <c r="J8" s="15">
        <v>20</v>
      </c>
    </row>
    <row r="9" spans="2:10" x14ac:dyDescent="0.25">
      <c r="B9" s="2">
        <v>25608</v>
      </c>
      <c r="C9" s="13">
        <v>3000</v>
      </c>
      <c r="D9" s="15">
        <v>1750</v>
      </c>
      <c r="E9" s="14">
        <v>900</v>
      </c>
      <c r="F9" s="15">
        <f t="shared" si="1"/>
        <v>350</v>
      </c>
      <c r="G9" s="19">
        <v>700</v>
      </c>
      <c r="H9" s="15">
        <v>30</v>
      </c>
      <c r="I9" s="19">
        <v>3</v>
      </c>
      <c r="J9" s="15">
        <v>30</v>
      </c>
    </row>
    <row r="10" spans="2:10" x14ac:dyDescent="0.25">
      <c r="B10" s="2">
        <v>25155</v>
      </c>
      <c r="C10" s="13">
        <v>2000</v>
      </c>
      <c r="D10" s="15">
        <v>1025</v>
      </c>
      <c r="E10" s="14">
        <v>450</v>
      </c>
      <c r="F10" s="15">
        <f t="shared" si="0"/>
        <v>525</v>
      </c>
      <c r="G10" s="19">
        <v>615</v>
      </c>
      <c r="H10" s="15">
        <v>20</v>
      </c>
      <c r="I10" s="19">
        <v>2</v>
      </c>
      <c r="J10" s="15">
        <v>20</v>
      </c>
    </row>
    <row r="11" spans="2:10" x14ac:dyDescent="0.25">
      <c r="B11" s="2">
        <v>23064</v>
      </c>
      <c r="C11" s="13">
        <v>3000</v>
      </c>
      <c r="D11" s="15">
        <v>1700</v>
      </c>
      <c r="E11" s="14">
        <v>900</v>
      </c>
      <c r="F11" s="15">
        <v>400</v>
      </c>
      <c r="G11" s="19">
        <v>650</v>
      </c>
      <c r="H11" s="15">
        <v>30</v>
      </c>
      <c r="I11" s="19">
        <v>3</v>
      </c>
      <c r="J11" s="15">
        <v>30</v>
      </c>
    </row>
    <row r="12" spans="2:10" x14ac:dyDescent="0.25">
      <c r="B12" s="2">
        <v>25132</v>
      </c>
      <c r="C12" s="13">
        <v>3000</v>
      </c>
      <c r="D12" s="15">
        <v>1700</v>
      </c>
      <c r="E12" s="14">
        <v>900</v>
      </c>
      <c r="F12" s="15">
        <f t="shared" si="0"/>
        <v>400</v>
      </c>
      <c r="G12" s="19">
        <v>650</v>
      </c>
      <c r="H12" s="15">
        <v>30</v>
      </c>
      <c r="I12" s="19">
        <v>3</v>
      </c>
      <c r="J12" s="15">
        <v>30</v>
      </c>
    </row>
    <row r="13" spans="2:10" x14ac:dyDescent="0.25">
      <c r="B13" s="2">
        <v>23069</v>
      </c>
      <c r="C13" s="13">
        <v>3000</v>
      </c>
      <c r="D13" s="15">
        <v>1700</v>
      </c>
      <c r="E13" s="14">
        <v>900</v>
      </c>
      <c r="F13" s="15">
        <v>400</v>
      </c>
      <c r="G13" s="19">
        <v>650</v>
      </c>
      <c r="H13" s="15">
        <v>30</v>
      </c>
      <c r="I13" s="19">
        <v>3</v>
      </c>
      <c r="J13" s="15">
        <v>30</v>
      </c>
    </row>
    <row r="14" spans="2:10" x14ac:dyDescent="0.25">
      <c r="B14" s="2">
        <v>25151</v>
      </c>
      <c r="C14" s="14">
        <v>3000</v>
      </c>
      <c r="D14" s="15">
        <v>1700</v>
      </c>
      <c r="E14" s="14">
        <v>900</v>
      </c>
      <c r="F14" s="15">
        <f t="shared" si="0"/>
        <v>400</v>
      </c>
      <c r="G14" s="19">
        <v>650</v>
      </c>
      <c r="H14" s="15">
        <v>30</v>
      </c>
      <c r="I14" s="19">
        <v>3</v>
      </c>
      <c r="J14" s="15">
        <v>30</v>
      </c>
    </row>
    <row r="15" spans="2:10" x14ac:dyDescent="0.25">
      <c r="B15" s="2">
        <v>23065</v>
      </c>
      <c r="C15" s="14">
        <v>3000</v>
      </c>
      <c r="D15" s="15">
        <v>1700</v>
      </c>
      <c r="E15" s="14">
        <v>900</v>
      </c>
      <c r="F15" s="15">
        <v>400</v>
      </c>
      <c r="G15" s="19">
        <v>650</v>
      </c>
      <c r="H15" s="15">
        <v>30</v>
      </c>
      <c r="I15" s="19">
        <v>3</v>
      </c>
      <c r="J15" s="15">
        <v>30</v>
      </c>
    </row>
    <row r="16" spans="2:10" x14ac:dyDescent="0.25">
      <c r="B16" s="2">
        <v>25138</v>
      </c>
      <c r="C16" s="14">
        <v>3000</v>
      </c>
      <c r="D16" s="15">
        <v>1700</v>
      </c>
      <c r="E16" s="14">
        <v>900</v>
      </c>
      <c r="F16" s="15">
        <f t="shared" si="0"/>
        <v>400</v>
      </c>
      <c r="G16" s="19">
        <v>650</v>
      </c>
      <c r="H16" s="15">
        <v>30</v>
      </c>
      <c r="I16" s="19">
        <v>3</v>
      </c>
      <c r="J16" s="15">
        <v>30</v>
      </c>
    </row>
    <row r="17" spans="2:10" x14ac:dyDescent="0.25">
      <c r="B17" s="2">
        <v>25140</v>
      </c>
      <c r="C17" s="14">
        <v>3000</v>
      </c>
      <c r="D17" s="15">
        <v>1700</v>
      </c>
      <c r="E17" s="14">
        <v>900</v>
      </c>
      <c r="F17" s="15">
        <f t="shared" si="0"/>
        <v>400</v>
      </c>
      <c r="G17" s="19">
        <v>650</v>
      </c>
      <c r="H17" s="15">
        <v>30</v>
      </c>
      <c r="I17" s="19">
        <v>3</v>
      </c>
      <c r="J17" s="15">
        <v>30</v>
      </c>
    </row>
    <row r="18" spans="2:10" x14ac:dyDescent="0.25">
      <c r="B18" s="97">
        <v>25655</v>
      </c>
      <c r="C18" s="14">
        <v>4000</v>
      </c>
      <c r="D18" s="15">
        <v>0</v>
      </c>
      <c r="E18" s="14">
        <v>0</v>
      </c>
      <c r="F18" s="15">
        <f t="shared" si="0"/>
        <v>4000</v>
      </c>
      <c r="G18" s="19">
        <v>0</v>
      </c>
      <c r="H18" s="15">
        <v>40</v>
      </c>
      <c r="I18" s="19">
        <v>4</v>
      </c>
      <c r="J18" s="15">
        <v>40</v>
      </c>
    </row>
    <row r="19" spans="2:10" x14ac:dyDescent="0.25">
      <c r="B19" s="2">
        <v>25192</v>
      </c>
      <c r="C19" s="14">
        <v>1500</v>
      </c>
      <c r="D19" s="15">
        <v>850</v>
      </c>
      <c r="E19" s="14">
        <v>360</v>
      </c>
      <c r="F19" s="15">
        <f t="shared" si="0"/>
        <v>290</v>
      </c>
      <c r="G19" s="19">
        <v>700</v>
      </c>
      <c r="H19" s="15">
        <v>15</v>
      </c>
      <c r="I19" s="19">
        <v>1.5</v>
      </c>
      <c r="J19" s="15">
        <v>15</v>
      </c>
    </row>
    <row r="20" spans="2:10" x14ac:dyDescent="0.25">
      <c r="B20" s="2">
        <v>25607</v>
      </c>
      <c r="C20" s="14">
        <v>1500</v>
      </c>
      <c r="D20" s="15">
        <v>850</v>
      </c>
      <c r="E20" s="14">
        <v>360</v>
      </c>
      <c r="F20" s="15">
        <f t="shared" ref="F20" si="2">C20-D20-E20</f>
        <v>290</v>
      </c>
      <c r="G20" s="19">
        <v>700</v>
      </c>
      <c r="H20" s="15">
        <v>15</v>
      </c>
      <c r="I20" s="19">
        <v>1.5</v>
      </c>
      <c r="J20" s="15">
        <v>15</v>
      </c>
    </row>
    <row r="21" spans="2:10" x14ac:dyDescent="0.25">
      <c r="B21" s="2">
        <v>25191</v>
      </c>
      <c r="C21" s="14">
        <v>2500</v>
      </c>
      <c r="D21" s="15">
        <v>1675</v>
      </c>
      <c r="E21" s="14">
        <v>900</v>
      </c>
      <c r="F21" s="15">
        <v>0</v>
      </c>
      <c r="G21" s="19">
        <v>700</v>
      </c>
      <c r="H21" s="15">
        <v>25</v>
      </c>
      <c r="I21" s="19">
        <v>2.5</v>
      </c>
      <c r="J21" s="15">
        <v>25</v>
      </c>
    </row>
    <row r="22" spans="2:10" x14ac:dyDescent="0.25">
      <c r="B22" s="2">
        <v>25605</v>
      </c>
      <c r="C22" s="14">
        <v>3000</v>
      </c>
      <c r="D22" s="15">
        <v>1675</v>
      </c>
      <c r="E22" s="14">
        <v>900</v>
      </c>
      <c r="F22" s="15">
        <f t="shared" si="0"/>
        <v>425</v>
      </c>
      <c r="G22" s="19">
        <v>700</v>
      </c>
      <c r="H22" s="15">
        <v>30</v>
      </c>
      <c r="I22" s="19">
        <v>3</v>
      </c>
      <c r="J22" s="15">
        <v>30</v>
      </c>
    </row>
    <row r="23" spans="2:10" x14ac:dyDescent="0.25">
      <c r="B23" s="2">
        <v>25187</v>
      </c>
      <c r="C23" s="14">
        <v>3000</v>
      </c>
      <c r="D23" s="15">
        <v>1675</v>
      </c>
      <c r="E23" s="14">
        <v>900</v>
      </c>
      <c r="F23" s="15">
        <f t="shared" si="0"/>
        <v>425</v>
      </c>
      <c r="G23" s="19">
        <v>700</v>
      </c>
      <c r="H23" s="15">
        <v>30</v>
      </c>
      <c r="I23" s="19">
        <v>3</v>
      </c>
      <c r="J23" s="15">
        <v>30</v>
      </c>
    </row>
    <row r="24" spans="2:10" x14ac:dyDescent="0.25">
      <c r="B24" s="2">
        <v>25604</v>
      </c>
      <c r="C24" s="14">
        <v>3000</v>
      </c>
      <c r="D24" s="15">
        <v>1675</v>
      </c>
      <c r="E24" s="14">
        <v>900</v>
      </c>
      <c r="F24" s="15">
        <f t="shared" ref="F24" si="3">C24-D24-E24</f>
        <v>425</v>
      </c>
      <c r="G24" s="19">
        <v>700</v>
      </c>
      <c r="H24" s="15">
        <v>30</v>
      </c>
      <c r="I24" s="19">
        <v>3</v>
      </c>
      <c r="J24" s="15">
        <v>30</v>
      </c>
    </row>
    <row r="25" spans="2:10" x14ac:dyDescent="0.25">
      <c r="B25" s="2">
        <v>25189</v>
      </c>
      <c r="C25" s="14">
        <v>3000</v>
      </c>
      <c r="D25" s="15">
        <v>1675</v>
      </c>
      <c r="E25" s="14">
        <v>900</v>
      </c>
      <c r="F25" s="15">
        <f t="shared" si="0"/>
        <v>425</v>
      </c>
      <c r="G25" s="19">
        <v>700</v>
      </c>
      <c r="H25" s="15">
        <v>30</v>
      </c>
      <c r="I25" s="19">
        <v>3</v>
      </c>
      <c r="J25" s="15">
        <v>30</v>
      </c>
    </row>
    <row r="26" spans="2:10" x14ac:dyDescent="0.25">
      <c r="B26" s="2">
        <v>25190</v>
      </c>
      <c r="C26" s="14">
        <v>3000</v>
      </c>
      <c r="D26" s="15">
        <v>1675</v>
      </c>
      <c r="E26" s="14">
        <v>900</v>
      </c>
      <c r="F26" s="15">
        <f t="shared" ref="F26" si="4">C26-D26-E26</f>
        <v>425</v>
      </c>
      <c r="G26" s="19">
        <v>700</v>
      </c>
      <c r="H26" s="15">
        <v>30</v>
      </c>
      <c r="I26" s="19">
        <v>3</v>
      </c>
      <c r="J26" s="15">
        <v>30</v>
      </c>
    </row>
    <row r="27" spans="2:10" x14ac:dyDescent="0.25">
      <c r="B27" s="2">
        <v>25606</v>
      </c>
      <c r="C27" s="14">
        <v>3000</v>
      </c>
      <c r="D27" s="15">
        <v>1675</v>
      </c>
      <c r="E27" s="14">
        <v>900</v>
      </c>
      <c r="F27" s="15">
        <f t="shared" ref="F27" si="5">C27-D27-E27</f>
        <v>425</v>
      </c>
      <c r="G27" s="19">
        <v>700</v>
      </c>
      <c r="H27" s="15">
        <v>30</v>
      </c>
      <c r="I27" s="19">
        <v>3</v>
      </c>
      <c r="J27" s="15">
        <v>30</v>
      </c>
    </row>
    <row r="28" spans="2:10" x14ac:dyDescent="0.25">
      <c r="B28" s="2">
        <v>25104</v>
      </c>
      <c r="C28" s="14">
        <v>4000</v>
      </c>
      <c r="D28" s="15">
        <v>2200</v>
      </c>
      <c r="E28" s="14">
        <v>1350</v>
      </c>
      <c r="F28" s="15">
        <f t="shared" si="0"/>
        <v>450</v>
      </c>
      <c r="G28" s="19">
        <v>650</v>
      </c>
      <c r="H28" s="15">
        <v>40</v>
      </c>
      <c r="I28" s="19">
        <v>4</v>
      </c>
      <c r="J28" s="15">
        <v>40</v>
      </c>
    </row>
    <row r="29" spans="2:10" x14ac:dyDescent="0.25">
      <c r="B29" s="2">
        <v>25105</v>
      </c>
      <c r="C29" s="14">
        <v>4000</v>
      </c>
      <c r="D29" s="15">
        <v>2200</v>
      </c>
      <c r="E29" s="14">
        <v>1350</v>
      </c>
      <c r="F29" s="15">
        <f t="shared" si="0"/>
        <v>450</v>
      </c>
      <c r="G29" s="19">
        <v>650</v>
      </c>
      <c r="H29" s="15">
        <v>40</v>
      </c>
      <c r="I29" s="19">
        <v>4</v>
      </c>
      <c r="J29" s="15">
        <v>40</v>
      </c>
    </row>
    <row r="30" spans="2:10" x14ac:dyDescent="0.25">
      <c r="B30" s="2">
        <v>25297</v>
      </c>
      <c r="C30" s="14">
        <v>4000</v>
      </c>
      <c r="D30" s="15">
        <v>2200</v>
      </c>
      <c r="E30" s="14">
        <v>1350</v>
      </c>
      <c r="F30" s="15">
        <f t="shared" si="0"/>
        <v>450</v>
      </c>
      <c r="G30" s="19">
        <v>650</v>
      </c>
      <c r="H30" s="15">
        <v>40</v>
      </c>
      <c r="I30" s="19">
        <v>4</v>
      </c>
      <c r="J30" s="15">
        <v>40</v>
      </c>
    </row>
    <row r="31" spans="2:10" x14ac:dyDescent="0.25">
      <c r="B31" s="97">
        <v>25656</v>
      </c>
      <c r="C31" s="14">
        <v>3000</v>
      </c>
      <c r="D31" s="15">
        <v>1700</v>
      </c>
      <c r="E31" s="14">
        <v>1000</v>
      </c>
      <c r="F31" s="15">
        <f>C31-D31-E31</f>
        <v>300</v>
      </c>
      <c r="G31" s="19">
        <v>700</v>
      </c>
      <c r="H31" s="15">
        <v>30</v>
      </c>
      <c r="I31" s="19">
        <v>3</v>
      </c>
      <c r="J31" s="15">
        <v>30</v>
      </c>
    </row>
    <row r="34" spans="2:10" x14ac:dyDescent="0.25">
      <c r="B34" s="23"/>
      <c r="C34" s="91" t="s">
        <v>38</v>
      </c>
      <c r="D34" s="91" t="s">
        <v>55</v>
      </c>
      <c r="E34" s="91" t="s">
        <v>37</v>
      </c>
      <c r="F34" s="91" t="s">
        <v>117</v>
      </c>
      <c r="G34" s="91" t="s">
        <v>118</v>
      </c>
      <c r="H34" s="176" t="s">
        <v>119</v>
      </c>
      <c r="I34" s="176"/>
      <c r="J34" s="92"/>
    </row>
    <row r="35" spans="2:10" ht="45" x14ac:dyDescent="0.25">
      <c r="B35" s="3" t="s">
        <v>22</v>
      </c>
      <c r="C35" s="4" t="s">
        <v>9</v>
      </c>
      <c r="D35" s="4" t="s">
        <v>9</v>
      </c>
      <c r="E35" s="4" t="s">
        <v>9</v>
      </c>
      <c r="F35" s="4" t="s">
        <v>9</v>
      </c>
      <c r="G35" s="4" t="s">
        <v>9</v>
      </c>
      <c r="H35" s="4" t="s">
        <v>108</v>
      </c>
      <c r="I35" s="4" t="s">
        <v>124</v>
      </c>
      <c r="J35" s="93" t="s">
        <v>233</v>
      </c>
    </row>
    <row r="36" spans="2:10" x14ac:dyDescent="0.25">
      <c r="B36" s="2">
        <v>25491</v>
      </c>
      <c r="C36" s="13">
        <v>2360</v>
      </c>
      <c r="D36" s="15">
        <v>410</v>
      </c>
      <c r="E36" s="14">
        <v>1760</v>
      </c>
      <c r="F36" s="15">
        <f>C36-D36-E36</f>
        <v>190</v>
      </c>
      <c r="G36" s="19" t="s">
        <v>234</v>
      </c>
      <c r="H36" s="15">
        <v>30</v>
      </c>
      <c r="I36" s="19">
        <v>3</v>
      </c>
      <c r="J36" s="15">
        <v>30</v>
      </c>
    </row>
  </sheetData>
  <mergeCells count="2">
    <mergeCell ref="H2:I2"/>
    <mergeCell ref="H34:I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4528DC192DB44B8D37EE5809940D80" ma:contentTypeVersion="4" ma:contentTypeDescription="Een nieuw document maken." ma:contentTypeScope="" ma:versionID="1a12ea08f9693625161328de7e3a9dd7">
  <xsd:schema xmlns:xsd="http://www.w3.org/2001/XMLSchema" xmlns:xs="http://www.w3.org/2001/XMLSchema" xmlns:p="http://schemas.microsoft.com/office/2006/metadata/properties" xmlns:ns2="3f6fc4df-e2a7-4cf8-9155-2d298ee5b490" targetNamespace="http://schemas.microsoft.com/office/2006/metadata/properties" ma:root="true" ma:fieldsID="9d25efb8864e4ccb93692c0e9ff6d6f2" ns2:_="">
    <xsd:import namespace="3f6fc4df-e2a7-4cf8-9155-2d298ee5b4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6fc4df-e2a7-4cf8-9155-2d298ee5b4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8B6C29-1CD6-45D8-9BA3-716221A5C909}">
  <ds:schemaRefs>
    <ds:schemaRef ds:uri="http://purl.org/dc/terms/"/>
    <ds:schemaRef ds:uri="58e5a485-bfe3-4912-838b-0cecc4ddbf4c"/>
    <ds:schemaRef ds:uri="http://schemas.microsoft.com/office/2006/documentManagement/types"/>
    <ds:schemaRef ds:uri="0487735a-aa80-403c-99d1-eb2854a06b02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FEC8A8C-EEB3-4FB6-9534-99C37B99B57E}"/>
</file>

<file path=customXml/itemProps3.xml><?xml version="1.0" encoding="utf-8"?>
<ds:datastoreItem xmlns:ds="http://schemas.openxmlformats.org/officeDocument/2006/customXml" ds:itemID="{C86DC4CA-68AF-4609-8C56-F62F1A90B3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14</vt:i4>
      </vt:variant>
    </vt:vector>
  </HeadingPairs>
  <TitlesOfParts>
    <vt:vector size="22" baseType="lpstr">
      <vt:lpstr>Programmering</vt:lpstr>
      <vt:lpstr>OER</vt:lpstr>
      <vt:lpstr>Rekenhulp</vt:lpstr>
      <vt:lpstr>Toelichting</vt:lpstr>
      <vt:lpstr>Administratie</vt:lpstr>
      <vt:lpstr>Parameters</vt:lpstr>
      <vt:lpstr>Opleidingen</vt:lpstr>
      <vt:lpstr>Afwijkende normen - OUD</vt:lpstr>
      <vt:lpstr>BBL</vt:lpstr>
      <vt:lpstr>BOL</vt:lpstr>
      <vt:lpstr>Bouwkunde</vt:lpstr>
      <vt:lpstr>cohorten</vt:lpstr>
      <vt:lpstr>Economie</vt:lpstr>
      <vt:lpstr>Electrotechniek</vt:lpstr>
      <vt:lpstr>Gezondheidszorg</vt:lpstr>
      <vt:lpstr>ICT</vt:lpstr>
      <vt:lpstr>Infra</vt:lpstr>
      <vt:lpstr>Mobiliteit</vt:lpstr>
      <vt:lpstr>Technologie</vt:lpstr>
      <vt:lpstr>VRIJ</vt:lpstr>
      <vt:lpstr>Welzijn</vt:lpstr>
      <vt:lpstr>Werktuigbouwkunde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</dc:creator>
  <cp:keywords/>
  <dc:description/>
  <cp:lastModifiedBy>C.C. (Christiaan) de Graaf (GfC)</cp:lastModifiedBy>
  <cp:revision/>
  <cp:lastPrinted>2023-11-28T13:37:04Z</cp:lastPrinted>
  <dcterms:created xsi:type="dcterms:W3CDTF">2014-05-19T17:20:27Z</dcterms:created>
  <dcterms:modified xsi:type="dcterms:W3CDTF">2025-03-08T15:08:29Z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0x0101009E4528DC192DB44B8D37EE5809940D80</vt:lpwstr>
  </property>
  <property fmtid="{D5CDD505-2E9C-101B-9397-08002B2CF9AE}" pid="3" name="MediaServiceImageTags">
    <vt:lpwstr/>
  </property>
</Properties>
</file>